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DF2C" lockStructure="1"/>
  <bookViews>
    <workbookView xWindow="600" yWindow="750" windowWidth="11130" windowHeight="4965"/>
  </bookViews>
  <sheets>
    <sheet name="Simulador" sheetId="12" r:id="rId1"/>
    <sheet name="Parametros" sheetId="15" state="hidden" r:id="rId2"/>
  </sheets>
  <definedNames>
    <definedName name="_xlnm.Print_Area" localSheetId="0">Simulador!$A$1:$K$121</definedName>
    <definedName name="fgsdg">#REF!</definedName>
    <definedName name="lista" localSheetId="1">Parametros!#REF!</definedName>
    <definedName name="lista" localSheetId="0">Simulador!#REF!</definedName>
    <definedName name="lista">#REF!</definedName>
    <definedName name="meses" localSheetId="1">Parametros!#REF!</definedName>
    <definedName name="meses" localSheetId="0">Simulador!#REF!</definedName>
    <definedName name="meses">#REF!</definedName>
    <definedName name="nomuniversidad" localSheetId="1">#REF!</definedName>
    <definedName name="nomuniversidad" localSheetId="0">#REF!</definedName>
    <definedName name="nomuniversidad">#REF!</definedName>
    <definedName name="u" localSheetId="1">#REF!</definedName>
    <definedName name="u" localSheetId="0">#REF!</definedName>
    <definedName name="u">#REF!</definedName>
    <definedName name="universidad" localSheetId="1">#REF!</definedName>
    <definedName name="universidad" localSheetId="0">#REF!</definedName>
    <definedName name="universidad">#REF!</definedName>
    <definedName name="universidades" localSheetId="1">#REF!</definedName>
    <definedName name="universidades" localSheetId="0">#REF!</definedName>
    <definedName name="universidades">#REF!</definedName>
  </definedNames>
  <calcPr calcId="145621"/>
</workbook>
</file>

<file path=xl/calcChain.xml><?xml version="1.0" encoding="utf-8"?>
<calcChain xmlns="http://schemas.openxmlformats.org/spreadsheetml/2006/main">
  <c r="D14" i="12" l="1"/>
  <c r="H15" i="15" l="1"/>
  <c r="V42" i="15"/>
  <c r="P42" i="15"/>
  <c r="O42" i="15"/>
  <c r="U42" i="15"/>
  <c r="A5" i="12" l="1"/>
  <c r="T15" i="15" l="1"/>
  <c r="S23" i="15" s="1"/>
  <c r="N15" i="15"/>
  <c r="M25" i="15" s="1"/>
  <c r="E9" i="12"/>
  <c r="G24" i="15" l="1"/>
  <c r="I42" i="15"/>
  <c r="J42" i="15" s="1"/>
  <c r="I43" i="15"/>
  <c r="S34" i="15"/>
  <c r="U34" i="15" s="1"/>
  <c r="S26" i="15"/>
  <c r="S33" i="15"/>
  <c r="U33" i="15" s="1"/>
  <c r="S29" i="15"/>
  <c r="U29" i="15" s="1"/>
  <c r="S25" i="15"/>
  <c r="S36" i="15"/>
  <c r="U36" i="15" s="1"/>
  <c r="S32" i="15"/>
  <c r="U32" i="15" s="1"/>
  <c r="S28" i="15"/>
  <c r="U28" i="15" s="1"/>
  <c r="S24" i="15"/>
  <c r="S30" i="15"/>
  <c r="U30" i="15" s="1"/>
  <c r="S22" i="15"/>
  <c r="S35" i="15"/>
  <c r="U35" i="15" s="1"/>
  <c r="S31" i="15"/>
  <c r="U31" i="15" s="1"/>
  <c r="S27" i="15"/>
  <c r="U27" i="15" s="1"/>
  <c r="M35" i="15"/>
  <c r="O35" i="15" s="1"/>
  <c r="M24" i="15"/>
  <c r="M31" i="15"/>
  <c r="O31" i="15" s="1"/>
  <c r="M36" i="15"/>
  <c r="O36" i="15" s="1"/>
  <c r="M28" i="15"/>
  <c r="O28" i="15" s="1"/>
  <c r="M32" i="15"/>
  <c r="O32" i="15" s="1"/>
  <c r="M34" i="15"/>
  <c r="O34" i="15" s="1"/>
  <c r="M30" i="15"/>
  <c r="O30" i="15" s="1"/>
  <c r="M26" i="15"/>
  <c r="M27" i="15"/>
  <c r="O27" i="15" s="1"/>
  <c r="M23" i="15"/>
  <c r="M22" i="15"/>
  <c r="M33" i="15"/>
  <c r="O33" i="15" s="1"/>
  <c r="M29" i="15"/>
  <c r="O29" i="15" s="1"/>
  <c r="G35" i="15"/>
  <c r="I35" i="15" s="1"/>
  <c r="G31" i="15"/>
  <c r="G27" i="15"/>
  <c r="G23" i="15"/>
  <c r="G34" i="15"/>
  <c r="I34" i="15" s="1"/>
  <c r="G30" i="15"/>
  <c r="G26" i="15"/>
  <c r="G22" i="15"/>
  <c r="G33" i="15"/>
  <c r="I33" i="15" s="1"/>
  <c r="G29" i="15"/>
  <c r="G25" i="15"/>
  <c r="G36" i="15"/>
  <c r="I36" i="15" s="1"/>
  <c r="G32" i="15"/>
  <c r="I32" i="15" s="1"/>
  <c r="G28" i="15"/>
  <c r="V22" i="15"/>
  <c r="V23" i="15" s="1"/>
  <c r="V24" i="15" s="1"/>
  <c r="V25" i="15" s="1"/>
  <c r="V26" i="15" s="1"/>
  <c r="V27" i="15" s="1"/>
  <c r="V28" i="15" s="1"/>
  <c r="V29" i="15" s="1"/>
  <c r="V30" i="15" s="1"/>
  <c r="V31" i="15" s="1"/>
  <c r="V32" i="15" s="1"/>
  <c r="V33" i="15" s="1"/>
  <c r="V34" i="15" s="1"/>
  <c r="V35" i="15" s="1"/>
  <c r="V36" i="15" s="1"/>
  <c r="B7" i="15" l="1"/>
  <c r="B8" i="15" s="1"/>
  <c r="D43" i="15"/>
  <c r="C43" i="15"/>
  <c r="B43" i="15"/>
  <c r="B37" i="12" l="1"/>
  <c r="B38" i="12"/>
  <c r="B39" i="12"/>
  <c r="B35" i="12"/>
  <c r="B36" i="12"/>
  <c r="B25" i="12" l="1"/>
  <c r="T18" i="15"/>
  <c r="T22" i="15" s="1"/>
  <c r="U22" i="15" s="1"/>
  <c r="U44" i="15"/>
  <c r="V44" i="15" s="1"/>
  <c r="U45" i="15"/>
  <c r="V45" i="15" s="1"/>
  <c r="U43" i="15"/>
  <c r="U46" i="15"/>
  <c r="V46" i="15" s="1"/>
  <c r="N18" i="15"/>
  <c r="N22" i="15" s="1"/>
  <c r="O22" i="15" s="1"/>
  <c r="O43" i="15"/>
  <c r="P43" i="15" s="1"/>
  <c r="O46" i="15"/>
  <c r="O44" i="15"/>
  <c r="P44" i="15" s="1"/>
  <c r="O45" i="15"/>
  <c r="P45" i="15" s="1"/>
  <c r="H18" i="15"/>
  <c r="H22" i="15" s="1"/>
  <c r="I22" i="15" s="1"/>
  <c r="I45" i="15"/>
  <c r="J45" i="15" s="1"/>
  <c r="I46" i="15"/>
  <c r="J46" i="15" s="1"/>
  <c r="J43" i="15"/>
  <c r="I44" i="15"/>
  <c r="J44" i="15" s="1"/>
  <c r="V43" i="15" l="1"/>
  <c r="D17" i="12"/>
  <c r="D25" i="12"/>
  <c r="N23" i="15"/>
  <c r="O23" i="15" s="1"/>
  <c r="C25" i="12"/>
  <c r="P46" i="15"/>
  <c r="T23" i="15"/>
  <c r="U23" i="15" s="1"/>
  <c r="B26" i="12"/>
  <c r="N24" i="15" l="1"/>
  <c r="O24" i="15" s="1"/>
  <c r="T24" i="15"/>
  <c r="U24" i="15" s="1"/>
  <c r="B34" i="12"/>
  <c r="B28" i="12"/>
  <c r="B33" i="12"/>
  <c r="B27" i="12"/>
  <c r="B32" i="12"/>
  <c r="B31" i="12"/>
  <c r="B30" i="12"/>
  <c r="B29" i="12"/>
  <c r="T25" i="15" l="1"/>
  <c r="U25" i="15" s="1"/>
  <c r="N25" i="15"/>
  <c r="O25" i="15" s="1"/>
  <c r="J22" i="15"/>
  <c r="J23" i="15" s="1"/>
  <c r="H23" i="15" s="1"/>
  <c r="I23" i="15" l="1"/>
  <c r="D26" i="12" s="1"/>
  <c r="T26" i="15"/>
  <c r="U26" i="15" s="1"/>
  <c r="N26" i="15"/>
  <c r="O26" i="15" s="1"/>
  <c r="C26" i="12"/>
  <c r="J24" i="15"/>
  <c r="H24" i="15" s="1"/>
  <c r="D21" i="12"/>
  <c r="I24" i="15" l="1"/>
  <c r="D27" i="12" s="1"/>
  <c r="N39" i="15"/>
  <c r="N42" i="15" s="1"/>
  <c r="T27" i="15"/>
  <c r="N37" i="15"/>
  <c r="O37" i="15"/>
  <c r="C27" i="12"/>
  <c r="J25" i="15"/>
  <c r="H25" i="15" l="1"/>
  <c r="T28" i="15"/>
  <c r="J26" i="15"/>
  <c r="B5" i="15"/>
  <c r="B6" i="15" s="1"/>
  <c r="B10" i="15"/>
  <c r="B3" i="15"/>
  <c r="B4" i="15" s="1"/>
  <c r="D20" i="12" s="1"/>
  <c r="I25" i="15" l="1"/>
  <c r="D28" i="12" s="1"/>
  <c r="H26" i="15"/>
  <c r="C28" i="12"/>
  <c r="T29" i="15"/>
  <c r="J27" i="15"/>
  <c r="I26" i="15" l="1"/>
  <c r="D29" i="12" s="1"/>
  <c r="C29" i="12"/>
  <c r="H27" i="15"/>
  <c r="T30" i="15"/>
  <c r="N43" i="15"/>
  <c r="N44" i="15"/>
  <c r="N45" i="15"/>
  <c r="N46" i="15"/>
  <c r="J28" i="15"/>
  <c r="G7" i="12"/>
  <c r="I27" i="15" l="1"/>
  <c r="D30" i="12" s="1"/>
  <c r="H28" i="15"/>
  <c r="C31" i="12" s="1"/>
  <c r="C30" i="12"/>
  <c r="T31" i="15"/>
  <c r="J29" i="15"/>
  <c r="H29" i="15" l="1"/>
  <c r="I29" i="15" s="1"/>
  <c r="D32" i="12" s="1"/>
  <c r="I28" i="15"/>
  <c r="D31" i="12" s="1"/>
  <c r="T32" i="15"/>
  <c r="J30" i="15"/>
  <c r="H30" i="15" l="1"/>
  <c r="C33" i="12" s="1"/>
  <c r="C32" i="12"/>
  <c r="C35" i="12"/>
  <c r="D35" i="12"/>
  <c r="T33" i="15"/>
  <c r="J31" i="15"/>
  <c r="H31" i="15" l="1"/>
  <c r="I31" i="15" s="1"/>
  <c r="D34" i="12" s="1"/>
  <c r="I30" i="15"/>
  <c r="D33" i="12" s="1"/>
  <c r="C36" i="12"/>
  <c r="T34" i="15"/>
  <c r="I37" i="15"/>
  <c r="H39" i="15"/>
  <c r="H37" i="15"/>
  <c r="J32" i="15"/>
  <c r="J33" i="15" s="1"/>
  <c r="J34" i="15" s="1"/>
  <c r="J35" i="15" s="1"/>
  <c r="J36" i="15" s="1"/>
  <c r="C34" i="12" l="1"/>
  <c r="H42" i="15"/>
  <c r="H43" i="15"/>
  <c r="C37" i="12"/>
  <c r="T35" i="15"/>
  <c r="D36" i="12"/>
  <c r="H44" i="15"/>
  <c r="H46" i="15"/>
  <c r="H45" i="15"/>
  <c r="C38" i="12" l="1"/>
  <c r="T36" i="15"/>
  <c r="D37" i="12"/>
  <c r="F8" i="12"/>
  <c r="G8" i="12" s="1"/>
  <c r="D18" i="12"/>
  <c r="C39" i="12" l="1"/>
  <c r="T37" i="15"/>
  <c r="C40" i="12" s="1"/>
  <c r="D38" i="12"/>
  <c r="T39" i="15"/>
  <c r="T42" i="15" s="1"/>
  <c r="F9" i="12"/>
  <c r="G9" i="12" s="1"/>
  <c r="T44" i="15" l="1"/>
  <c r="T43" i="15"/>
  <c r="D15" i="12" s="1"/>
  <c r="T46" i="15"/>
  <c r="T45" i="15"/>
  <c r="D39" i="12"/>
  <c r="D40" i="12" s="1"/>
  <c r="U37" i="15"/>
  <c r="F10" i="12"/>
  <c r="G10" i="12" s="1"/>
  <c r="F11" i="12" l="1"/>
  <c r="G11" i="12" s="1"/>
  <c r="K7" i="12"/>
  <c r="F12" i="12" l="1"/>
  <c r="G12" i="12" s="1"/>
  <c r="H11" i="12"/>
  <c r="H10" i="12"/>
  <c r="H9" i="12"/>
  <c r="H8" i="12"/>
  <c r="I8" i="12"/>
  <c r="F13" i="12" l="1"/>
  <c r="G13" i="12" s="1"/>
  <c r="H12" i="12"/>
  <c r="J8" i="12"/>
  <c r="F14" i="12" l="1"/>
  <c r="G14" i="12" s="1"/>
  <c r="F15" i="12" l="1"/>
  <c r="G15" i="12" s="1"/>
  <c r="H14" i="12"/>
  <c r="F16" i="12" l="1"/>
  <c r="G16" i="12" s="1"/>
  <c r="H15" i="12"/>
  <c r="K8" i="12"/>
  <c r="F17" i="12" l="1"/>
  <c r="G17" i="12" s="1"/>
  <c r="H16" i="12"/>
  <c r="I9" i="12"/>
  <c r="J9" i="12" s="1"/>
  <c r="F18" i="12" l="1"/>
  <c r="G18" i="12" s="1"/>
  <c r="H17" i="12"/>
  <c r="K9" i="12"/>
  <c r="F19" i="12" l="1"/>
  <c r="G19" i="12" s="1"/>
  <c r="H18" i="12"/>
  <c r="I10" i="12"/>
  <c r="J10" i="12" s="1"/>
  <c r="F20" i="12" l="1"/>
  <c r="G20" i="12" s="1"/>
  <c r="K10" i="12"/>
  <c r="F21" i="12" l="1"/>
  <c r="G21" i="12" s="1"/>
  <c r="H20" i="12"/>
  <c r="I11" i="12"/>
  <c r="J11" i="12" s="1"/>
  <c r="F22" i="12" l="1"/>
  <c r="G22" i="12" s="1"/>
  <c r="H21" i="12"/>
  <c r="K11" i="12"/>
  <c r="F23" i="12" l="1"/>
  <c r="G23" i="12" s="1"/>
  <c r="H22" i="12"/>
  <c r="I12" i="12"/>
  <c r="J12" i="12" s="1"/>
  <c r="F24" i="12" l="1"/>
  <c r="G24" i="12" s="1"/>
  <c r="H23" i="12"/>
  <c r="K12" i="12"/>
  <c r="F25" i="12" l="1"/>
  <c r="G25" i="12" s="1"/>
  <c r="H24" i="12"/>
  <c r="I13" i="12"/>
  <c r="H13" i="12" s="1"/>
  <c r="F26" i="12" l="1"/>
  <c r="G26" i="12" s="1"/>
  <c r="J13" i="12"/>
  <c r="K13" i="12"/>
  <c r="I14" i="12" s="1"/>
  <c r="F27" i="12" l="1"/>
  <c r="G27" i="12" s="1"/>
  <c r="H26" i="12"/>
  <c r="K14" i="12"/>
  <c r="I15" i="12" s="1"/>
  <c r="J14" i="12"/>
  <c r="F28" i="12" l="1"/>
  <c r="G28" i="12" s="1"/>
  <c r="H27" i="12"/>
  <c r="J15" i="12"/>
  <c r="K15" i="12"/>
  <c r="F29" i="12" l="1"/>
  <c r="G29" i="12" s="1"/>
  <c r="H28" i="12"/>
  <c r="I16" i="12"/>
  <c r="J16" i="12" s="1"/>
  <c r="F30" i="12" l="1"/>
  <c r="G30" i="12" s="1"/>
  <c r="H29" i="12"/>
  <c r="K16" i="12"/>
  <c r="F31" i="12" l="1"/>
  <c r="H30" i="12"/>
  <c r="I17" i="12"/>
  <c r="J17" i="12" s="1"/>
  <c r="F32" i="12" l="1"/>
  <c r="G32" i="12" s="1"/>
  <c r="G31" i="12"/>
  <c r="K17" i="12"/>
  <c r="F33" i="12" l="1"/>
  <c r="G33" i="12" s="1"/>
  <c r="H32" i="12"/>
  <c r="I18" i="12"/>
  <c r="J18" i="12" s="1"/>
  <c r="F34" i="12" l="1"/>
  <c r="G34" i="12" s="1"/>
  <c r="H33" i="12"/>
  <c r="K18" i="12"/>
  <c r="H34" i="12" l="1"/>
  <c r="F35" i="12"/>
  <c r="G35" i="12" s="1"/>
  <c r="I19" i="12"/>
  <c r="H19" i="12" s="1"/>
  <c r="F36" i="12" l="1"/>
  <c r="G36" i="12" s="1"/>
  <c r="J19" i="12"/>
  <c r="K19" i="12"/>
  <c r="F37" i="12" l="1"/>
  <c r="F38" i="12" s="1"/>
  <c r="G38" i="12" s="1"/>
  <c r="H36" i="12"/>
  <c r="I20" i="12"/>
  <c r="J20" i="12" s="1"/>
  <c r="G37" i="12" l="1"/>
  <c r="F39" i="12"/>
  <c r="G39" i="12" s="1"/>
  <c r="H38" i="12"/>
  <c r="K20" i="12"/>
  <c r="F40" i="12" l="1"/>
  <c r="G40" i="12" s="1"/>
  <c r="I21" i="12"/>
  <c r="J21" i="12" s="1"/>
  <c r="F41" i="12" l="1"/>
  <c r="G41" i="12" s="1"/>
  <c r="H40" i="12"/>
  <c r="K21" i="12"/>
  <c r="H41" i="12" l="1"/>
  <c r="F42" i="12"/>
  <c r="G42" i="12" s="1"/>
  <c r="I22" i="12"/>
  <c r="J22" i="12" s="1"/>
  <c r="H42" i="12" l="1"/>
  <c r="F43" i="12"/>
  <c r="F44" i="12" s="1"/>
  <c r="G44" i="12" s="1"/>
  <c r="K22" i="12"/>
  <c r="G43" i="12" l="1"/>
  <c r="F45" i="12"/>
  <c r="G45" i="12" s="1"/>
  <c r="H44" i="12"/>
  <c r="I23" i="12"/>
  <c r="J23" i="12" s="1"/>
  <c r="F46" i="12" l="1"/>
  <c r="G46" i="12" s="1"/>
  <c r="H45" i="12"/>
  <c r="K23" i="12"/>
  <c r="H46" i="12" l="1"/>
  <c r="F47" i="12"/>
  <c r="G47" i="12" s="1"/>
  <c r="I24" i="12"/>
  <c r="J24" i="12" s="1"/>
  <c r="F48" i="12" l="1"/>
  <c r="G48" i="12" s="1"/>
  <c r="K24" i="12"/>
  <c r="H48" i="12" l="1"/>
  <c r="F49" i="12"/>
  <c r="F50" i="12" s="1"/>
  <c r="G50" i="12" s="1"/>
  <c r="I25" i="12"/>
  <c r="H25" i="12" s="1"/>
  <c r="G49" i="12" l="1"/>
  <c r="H50" i="12"/>
  <c r="F51" i="12"/>
  <c r="G51" i="12" s="1"/>
  <c r="J25" i="12"/>
  <c r="K25" i="12"/>
  <c r="H51" i="12" l="1"/>
  <c r="F52" i="12"/>
  <c r="G52" i="12" s="1"/>
  <c r="I26" i="12"/>
  <c r="J26" i="12" s="1"/>
  <c r="H52" i="12" l="1"/>
  <c r="F53" i="12"/>
  <c r="G53" i="12" s="1"/>
  <c r="K26" i="12"/>
  <c r="H53" i="12" l="1"/>
  <c r="F54" i="12"/>
  <c r="G54" i="12" s="1"/>
  <c r="I27" i="12"/>
  <c r="J27" i="12" s="1"/>
  <c r="H54" i="12" l="1"/>
  <c r="F55" i="12"/>
  <c r="F56" i="12" s="1"/>
  <c r="G56" i="12" s="1"/>
  <c r="K27" i="12"/>
  <c r="G55" i="12" l="1"/>
  <c r="H56" i="12"/>
  <c r="F57" i="12"/>
  <c r="G57" i="12" s="1"/>
  <c r="I28" i="12"/>
  <c r="J28" i="12" s="1"/>
  <c r="F58" i="12" l="1"/>
  <c r="G58" i="12" s="1"/>
  <c r="H57" i="12"/>
  <c r="K28" i="12"/>
  <c r="I29" i="12" s="1"/>
  <c r="J29" i="12" s="1"/>
  <c r="F59" i="12" l="1"/>
  <c r="G59" i="12" s="1"/>
  <c r="H58" i="12"/>
  <c r="K29" i="12"/>
  <c r="I30" i="12" s="1"/>
  <c r="J30" i="12" s="1"/>
  <c r="F60" i="12" l="1"/>
  <c r="G60" i="12" s="1"/>
  <c r="K30" i="12"/>
  <c r="F61" i="12" l="1"/>
  <c r="G61" i="12" s="1"/>
  <c r="H60" i="12"/>
  <c r="I31" i="12"/>
  <c r="H31" i="12" s="1"/>
  <c r="F62" i="12" l="1"/>
  <c r="G62" i="12" s="1"/>
  <c r="J31" i="12"/>
  <c r="K31" i="12"/>
  <c r="F63" i="12" l="1"/>
  <c r="G63" i="12" s="1"/>
  <c r="H62" i="12"/>
  <c r="I32" i="12"/>
  <c r="J32" i="12" s="1"/>
  <c r="F64" i="12" l="1"/>
  <c r="G64" i="12" s="1"/>
  <c r="K32" i="12"/>
  <c r="H64" i="12" l="1"/>
  <c r="F65" i="12"/>
  <c r="G65" i="12" s="1"/>
  <c r="I33" i="12"/>
  <c r="J33" i="12" s="1"/>
  <c r="H65" i="12" l="1"/>
  <c r="F66" i="12"/>
  <c r="G66" i="12" s="1"/>
  <c r="K33" i="12"/>
  <c r="H66" i="12" l="1"/>
  <c r="F67" i="12"/>
  <c r="F68" i="12" s="1"/>
  <c r="H68" i="12" s="1"/>
  <c r="I34" i="12"/>
  <c r="J34" i="12" s="1"/>
  <c r="F69" i="12" l="1"/>
  <c r="F70" i="12" s="1"/>
  <c r="F71" i="12" s="1"/>
  <c r="G67" i="12"/>
  <c r="K34" i="12"/>
  <c r="H70" i="12" l="1"/>
  <c r="H69" i="12"/>
  <c r="F72" i="12"/>
  <c r="H71" i="12"/>
  <c r="I35" i="12"/>
  <c r="H35" i="12" l="1"/>
  <c r="J35" i="12" s="1"/>
  <c r="F73" i="12"/>
  <c r="F74" i="12" s="1"/>
  <c r="H72" i="12"/>
  <c r="K35" i="12" l="1"/>
  <c r="I36" i="12" s="1"/>
  <c r="J36" i="12" s="1"/>
  <c r="H74" i="12"/>
  <c r="F75" i="12"/>
  <c r="F76" i="12" l="1"/>
  <c r="K36" i="12"/>
  <c r="H76" i="12" l="1"/>
  <c r="F77" i="12"/>
  <c r="I37" i="12"/>
  <c r="H37" i="12" s="1"/>
  <c r="H77" i="12" l="1"/>
  <c r="F78" i="12"/>
  <c r="J37" i="12"/>
  <c r="K37" i="12"/>
  <c r="H78" i="12" l="1"/>
  <c r="F79" i="12"/>
  <c r="F80" i="12" s="1"/>
  <c r="I38" i="12"/>
  <c r="J38" i="12" s="1"/>
  <c r="H80" i="12" l="1"/>
  <c r="F81" i="12"/>
  <c r="K38" i="12"/>
  <c r="H81" i="12" l="1"/>
  <c r="F82" i="12"/>
  <c r="I39" i="12"/>
  <c r="H39" i="12" l="1"/>
  <c r="J39" i="12" s="1"/>
  <c r="H82" i="12"/>
  <c r="F83" i="12"/>
  <c r="F84" i="12" s="1"/>
  <c r="K39" i="12" l="1"/>
  <c r="I40" i="12" s="1"/>
  <c r="J40" i="12" s="1"/>
  <c r="H84" i="12"/>
  <c r="F85" i="12"/>
  <c r="F86" i="12" s="1"/>
  <c r="H86" i="12" l="1"/>
  <c r="F87" i="12"/>
  <c r="K40" i="12"/>
  <c r="F88" i="12" l="1"/>
  <c r="I41" i="12"/>
  <c r="J41" i="12" s="1"/>
  <c r="H88" i="12" l="1"/>
  <c r="F89" i="12"/>
  <c r="K41" i="12"/>
  <c r="H89" i="12" l="1"/>
  <c r="F90" i="12"/>
  <c r="I42" i="12"/>
  <c r="J42" i="12" s="1"/>
  <c r="H90" i="12" l="1"/>
  <c r="F91" i="12"/>
  <c r="K42" i="12"/>
  <c r="F92" i="12" l="1"/>
  <c r="H92" i="12" s="1"/>
  <c r="I43" i="12"/>
  <c r="H43" i="12" s="1"/>
  <c r="F93" i="12" l="1"/>
  <c r="H93" i="12" s="1"/>
  <c r="J43" i="12"/>
  <c r="K43" i="12"/>
  <c r="F94" i="12" l="1"/>
  <c r="H94" i="12" s="1"/>
  <c r="I44" i="12"/>
  <c r="J44" i="12" s="1"/>
  <c r="F95" i="12" l="1"/>
  <c r="H95" i="12" s="1"/>
  <c r="K44" i="12"/>
  <c r="F96" i="12" l="1"/>
  <c r="H96" i="12" s="1"/>
  <c r="I45" i="12"/>
  <c r="J45" i="12" s="1"/>
  <c r="F97" i="12" l="1"/>
  <c r="F98" i="12" s="1"/>
  <c r="H98" i="12" s="1"/>
  <c r="K45" i="12"/>
  <c r="F99" i="12" l="1"/>
  <c r="H99" i="12" s="1"/>
  <c r="I46" i="12"/>
  <c r="J46" i="12" s="1"/>
  <c r="F100" i="12" l="1"/>
  <c r="H100" i="12" s="1"/>
  <c r="K46" i="12"/>
  <c r="F101" i="12" l="1"/>
  <c r="H101" i="12" s="1"/>
  <c r="I47" i="12"/>
  <c r="H47" i="12" s="1"/>
  <c r="F102" i="12" l="1"/>
  <c r="H102" i="12" s="1"/>
  <c r="J47" i="12"/>
  <c r="K47" i="12"/>
  <c r="F103" i="12" l="1"/>
  <c r="I48" i="12"/>
  <c r="J48" i="12" s="1"/>
  <c r="F104" i="12" l="1"/>
  <c r="K48" i="12"/>
  <c r="H104" i="12" l="1"/>
  <c r="F105" i="12"/>
  <c r="I49" i="12"/>
  <c r="H49" i="12" s="1"/>
  <c r="H105" i="12" l="1"/>
  <c r="F106" i="12"/>
  <c r="J49" i="12"/>
  <c r="K49" i="12"/>
  <c r="H106" i="12" l="1"/>
  <c r="F107" i="12"/>
  <c r="I50" i="12"/>
  <c r="J50" i="12" s="1"/>
  <c r="H107" i="12" l="1"/>
  <c r="F108" i="12"/>
  <c r="K50" i="12"/>
  <c r="H108" i="12" l="1"/>
  <c r="F109" i="12"/>
  <c r="F110" i="12" s="1"/>
  <c r="I51" i="12"/>
  <c r="J51" i="12" s="1"/>
  <c r="H110" i="12" l="1"/>
  <c r="F111" i="12"/>
  <c r="K51" i="12"/>
  <c r="H111" i="12" l="1"/>
  <c r="F112" i="12"/>
  <c r="I52" i="12"/>
  <c r="J52" i="12" s="1"/>
  <c r="H112" i="12" l="1"/>
  <c r="F113" i="12"/>
  <c r="K52" i="12"/>
  <c r="H113" i="12" l="1"/>
  <c r="F114" i="12"/>
  <c r="I53" i="12"/>
  <c r="J53" i="12" s="1"/>
  <c r="H114" i="12" l="1"/>
  <c r="F115" i="12"/>
  <c r="K53" i="12"/>
  <c r="F116" i="12" l="1"/>
  <c r="I54" i="12"/>
  <c r="J54" i="12" s="1"/>
  <c r="H116" i="12" l="1"/>
  <c r="F117" i="12"/>
  <c r="K54" i="12"/>
  <c r="H117" i="12" l="1"/>
  <c r="F118" i="12"/>
  <c r="I55" i="12"/>
  <c r="H55" i="12" s="1"/>
  <c r="H118" i="12" l="1"/>
  <c r="F119" i="12"/>
  <c r="J55" i="12"/>
  <c r="K55" i="12"/>
  <c r="I56" i="12" s="1"/>
  <c r="J56" i="12" s="1"/>
  <c r="H119" i="12" l="1"/>
  <c r="F120" i="12"/>
  <c r="K56" i="12"/>
  <c r="I57" i="12" s="1"/>
  <c r="J57" i="12" s="1"/>
  <c r="H120" i="12" l="1"/>
  <c r="F121" i="12"/>
  <c r="K57" i="12"/>
  <c r="F122" i="12" l="1"/>
  <c r="I58" i="12"/>
  <c r="J58" i="12" s="1"/>
  <c r="H122" i="12" l="1"/>
  <c r="F123" i="12"/>
  <c r="K58" i="12"/>
  <c r="I59" i="12" l="1"/>
  <c r="H59" i="12"/>
  <c r="K59" i="12" l="1"/>
  <c r="I60" i="12" s="1"/>
  <c r="J60" i="12" s="1"/>
  <c r="J59" i="12"/>
  <c r="K60" i="12" l="1"/>
  <c r="I61" i="12" l="1"/>
  <c r="H61" i="12" l="1"/>
  <c r="K61" i="12" l="1"/>
  <c r="J61" i="12"/>
  <c r="I62" i="12" l="1"/>
  <c r="J62" i="12" s="1"/>
  <c r="K62" i="12" l="1"/>
  <c r="I63" i="12" l="1"/>
  <c r="H63" i="12"/>
  <c r="K63" i="12" l="1"/>
  <c r="I64" i="12" s="1"/>
  <c r="J64" i="12" s="1"/>
  <c r="J63" i="12"/>
  <c r="K64" i="12" l="1"/>
  <c r="I65" i="12" l="1"/>
  <c r="J65" i="12" s="1"/>
  <c r="K65" i="12" l="1"/>
  <c r="I66" i="12" l="1"/>
  <c r="J66" i="12" s="1"/>
  <c r="K66" i="12" l="1"/>
  <c r="I67" i="12" l="1"/>
  <c r="H67" i="12" s="1"/>
  <c r="J67" i="12" l="1"/>
  <c r="K67" i="12"/>
  <c r="I68" i="12" s="1"/>
  <c r="J68" i="12" s="1"/>
  <c r="K68" i="12" l="1"/>
  <c r="I69" i="12" l="1"/>
  <c r="J69" i="12" s="1"/>
  <c r="K69" i="12" l="1"/>
  <c r="I70" i="12" l="1"/>
  <c r="J70" i="12" s="1"/>
  <c r="K70" i="12" l="1"/>
  <c r="I71" i="12" l="1"/>
  <c r="J71" i="12" s="1"/>
  <c r="K71" i="12" l="1"/>
  <c r="I72" i="12" l="1"/>
  <c r="J72" i="12" s="1"/>
  <c r="K72" i="12" l="1"/>
  <c r="I73" i="12" l="1"/>
  <c r="H73" i="12" s="1"/>
  <c r="J73" i="12" l="1"/>
  <c r="K73" i="12"/>
  <c r="I74" i="12" l="1"/>
  <c r="J74" i="12" s="1"/>
  <c r="K74" i="12" l="1"/>
  <c r="I75" i="12" l="1"/>
  <c r="H75" i="12" l="1"/>
  <c r="J75" i="12" s="1"/>
  <c r="K75" i="12" l="1"/>
  <c r="I76" i="12" s="1"/>
  <c r="J76" i="12" s="1"/>
  <c r="K76" i="12" l="1"/>
  <c r="I77" i="12" s="1"/>
  <c r="J77" i="12" s="1"/>
  <c r="K77" i="12" l="1"/>
  <c r="I78" i="12" l="1"/>
  <c r="J78" i="12" s="1"/>
  <c r="K78" i="12" l="1"/>
  <c r="I79" i="12" l="1"/>
  <c r="H79" i="12" s="1"/>
  <c r="J79" i="12" l="1"/>
  <c r="K79" i="12"/>
  <c r="I80" i="12" l="1"/>
  <c r="J80" i="12" l="1"/>
  <c r="K80" i="12"/>
  <c r="I81" i="12" l="1"/>
  <c r="J81" i="12" s="1"/>
  <c r="K81" i="12" l="1"/>
  <c r="I82" i="12" l="1"/>
  <c r="J82" i="12" s="1"/>
  <c r="K82" i="12" l="1"/>
  <c r="I83" i="12" l="1"/>
  <c r="H83" i="12" s="1"/>
  <c r="J83" i="12" l="1"/>
  <c r="K83" i="12"/>
  <c r="I84" i="12" l="1"/>
  <c r="J84" i="12" s="1"/>
  <c r="K84" i="12" l="1"/>
  <c r="I85" i="12" l="1"/>
  <c r="H85" i="12" s="1"/>
  <c r="J85" i="12" l="1"/>
  <c r="K85" i="12"/>
  <c r="I86" i="12" l="1"/>
  <c r="J86" i="12" s="1"/>
  <c r="K86" i="12" l="1"/>
  <c r="I87" i="12" l="1"/>
  <c r="H87" i="12" l="1"/>
  <c r="J87" i="12" s="1"/>
  <c r="K87" i="12" l="1"/>
  <c r="I88" i="12" s="1"/>
  <c r="J88" i="12" s="1"/>
  <c r="K88" i="12" l="1"/>
  <c r="I89" i="12" l="1"/>
  <c r="J89" i="12" s="1"/>
  <c r="K89" i="12" l="1"/>
  <c r="I90" i="12" l="1"/>
  <c r="J90" i="12" l="1"/>
  <c r="K90" i="12"/>
  <c r="I91" i="12" l="1"/>
  <c r="H91" i="12" l="1"/>
  <c r="J91" i="12" s="1"/>
  <c r="K91" i="12" l="1"/>
  <c r="I92" i="12" s="1"/>
  <c r="J92" i="12" s="1"/>
  <c r="K92" i="12" l="1"/>
  <c r="I93" i="12" s="1"/>
  <c r="J93" i="12" s="1"/>
  <c r="K93" i="12" l="1"/>
  <c r="I94" i="12" s="1"/>
  <c r="J94" i="12" s="1"/>
  <c r="K94" i="12" l="1"/>
  <c r="I95" i="12" s="1"/>
  <c r="J95" i="12" s="1"/>
  <c r="K95" i="12" l="1"/>
  <c r="I96" i="12" s="1"/>
  <c r="J96" i="12" s="1"/>
  <c r="K96" i="12" l="1"/>
  <c r="I97" i="12" s="1"/>
  <c r="H97" i="12" s="1"/>
  <c r="K97" i="12" l="1"/>
  <c r="J97" i="12"/>
  <c r="I98" i="12" l="1"/>
  <c r="J98" i="12" s="1"/>
  <c r="K98" i="12" l="1"/>
  <c r="I99" i="12" s="1"/>
  <c r="J99" i="12" s="1"/>
  <c r="K99" i="12" l="1"/>
  <c r="I100" i="12" s="1"/>
  <c r="J100" i="12" s="1"/>
  <c r="K100" i="12" l="1"/>
  <c r="I101" i="12" s="1"/>
  <c r="J101" i="12" s="1"/>
  <c r="K101" i="12" l="1"/>
  <c r="I102" i="12" l="1"/>
  <c r="J102" i="12" s="1"/>
  <c r="K102" i="12" l="1"/>
  <c r="I103" i="12" l="1"/>
  <c r="H103" i="12"/>
  <c r="J103" i="12" l="1"/>
  <c r="K103" i="12"/>
  <c r="I104" i="12" s="1"/>
  <c r="J104" i="12" s="1"/>
  <c r="K104" i="12" l="1"/>
  <c r="I105" i="12" s="1"/>
  <c r="J105" i="12" s="1"/>
  <c r="K105" i="12" l="1"/>
  <c r="I106" i="12" l="1"/>
  <c r="J106" i="12" s="1"/>
  <c r="K106" i="12" l="1"/>
  <c r="I107" i="12" s="1"/>
  <c r="J107" i="12" s="1"/>
  <c r="K107" i="12" l="1"/>
  <c r="I108" i="12" s="1"/>
  <c r="J108" i="12" s="1"/>
  <c r="K108" i="12" l="1"/>
  <c r="I109" i="12" s="1"/>
  <c r="H109" i="12" s="1"/>
  <c r="K109" i="12" l="1"/>
  <c r="I110" i="12" s="1"/>
  <c r="J110" i="12" s="1"/>
  <c r="J109" i="12"/>
  <c r="K110" i="12" l="1"/>
  <c r="I111" i="12" s="1"/>
  <c r="J111" i="12" s="1"/>
  <c r="K111" i="12" l="1"/>
  <c r="I112" i="12" s="1"/>
  <c r="J112" i="12" s="1"/>
  <c r="K112" i="12" l="1"/>
  <c r="I113" i="12" s="1"/>
  <c r="J113" i="12" s="1"/>
  <c r="K113" i="12" l="1"/>
  <c r="I114" i="12" s="1"/>
  <c r="J114" i="12" s="1"/>
  <c r="K114" i="12" l="1"/>
  <c r="I115" i="12" l="1"/>
  <c r="H115" i="12" s="1"/>
  <c r="K115" i="12" l="1"/>
  <c r="I116" i="12" s="1"/>
  <c r="J116" i="12" s="1"/>
  <c r="J115" i="12"/>
  <c r="K116" i="12" l="1"/>
  <c r="I117" i="12" s="1"/>
  <c r="J117" i="12" s="1"/>
  <c r="K117" i="12" l="1"/>
  <c r="I118" i="12" l="1"/>
  <c r="J118" i="12" s="1"/>
  <c r="K118" i="12" l="1"/>
  <c r="I119" i="12" l="1"/>
  <c r="J119" i="12" s="1"/>
  <c r="K119" i="12" l="1"/>
  <c r="I120" i="12" s="1"/>
  <c r="J120" i="12" s="1"/>
  <c r="K120" i="12" l="1"/>
  <c r="I121" i="12" s="1"/>
  <c r="H121" i="12" l="1"/>
  <c r="J121" i="12" s="1"/>
  <c r="K121" i="12" l="1"/>
  <c r="I122" i="12" s="1"/>
  <c r="J122" i="12" s="1"/>
  <c r="K122" i="12" l="1"/>
  <c r="I123" i="12" l="1"/>
  <c r="H123" i="12"/>
  <c r="K123" i="12" l="1"/>
  <c r="J123" i="12"/>
</calcChain>
</file>

<file path=xl/sharedStrings.xml><?xml version="1.0" encoding="utf-8"?>
<sst xmlns="http://schemas.openxmlformats.org/spreadsheetml/2006/main" count="75" uniqueCount="60">
  <si>
    <t>Tasa E.A.</t>
  </si>
  <si>
    <t>Tasa Mensual</t>
  </si>
  <si>
    <t>Incremento matricula</t>
  </si>
  <si>
    <t>Desembolso</t>
  </si>
  <si>
    <t>Tasa semestral</t>
  </si>
  <si>
    <t>VPN</t>
  </si>
  <si>
    <t>Saldo Cartera</t>
  </si>
  <si>
    <t>Grsvamen Finsnciero</t>
  </si>
  <si>
    <t>Tasa Nominal mes</t>
  </si>
  <si>
    <t>Tasa Nominal Sem.</t>
  </si>
  <si>
    <t>Periodos Pago</t>
  </si>
  <si>
    <t>Intereses</t>
  </si>
  <si>
    <t>Mes</t>
  </si>
  <si>
    <t>Giro Max. Univers.</t>
  </si>
  <si>
    <t xml:space="preserve">Fecha </t>
  </si>
  <si>
    <t>Cuotas Totales Aprox.</t>
  </si>
  <si>
    <t>Tasa Interés. %</t>
  </si>
  <si>
    <t>Semestral</t>
  </si>
  <si>
    <t>Anual</t>
  </si>
  <si>
    <t>Abono Capital</t>
  </si>
  <si>
    <t>Cuota Mes Aproximada sin seguro</t>
  </si>
  <si>
    <t>FINANCIACION DE CARRERA SEMESTRAL</t>
  </si>
  <si>
    <t>FINANCIACION DE CARRERA ANUAL</t>
  </si>
  <si>
    <t>Ingresa los Semestres a Financiar  (Máximo 10)</t>
  </si>
  <si>
    <t>Ingresa los Años a Financiar  (Máximo 5)</t>
  </si>
  <si>
    <t xml:space="preserve">Ingresa el Valor del la Matricula de Semestre </t>
  </si>
  <si>
    <t xml:space="preserve">Ingresa el Valor de la Matricula del Año </t>
  </si>
  <si>
    <t>PLAN DE DESEMBOLSOS</t>
  </si>
  <si>
    <t>Sem.</t>
  </si>
  <si>
    <t>Giro Maximo a Univers.</t>
  </si>
  <si>
    <t>Años</t>
  </si>
  <si>
    <t>CUOTAS</t>
  </si>
  <si>
    <t>Cuatrimestral</t>
  </si>
  <si>
    <t>FINANCIACION DE CARRERA CUATRIMESTRAL</t>
  </si>
  <si>
    <t>Ingresa el Valor del la Matricula de Cuatrimestral</t>
  </si>
  <si>
    <t>Tasa Nominal Cuatrimestral.</t>
  </si>
  <si>
    <t>Ciclo Semestral</t>
  </si>
  <si>
    <t>Tasa Cuatrimestral</t>
  </si>
  <si>
    <t>Ingresa los cuatrimestres a Financiar  (Máximo 15)</t>
  </si>
  <si>
    <t>ciclo</t>
  </si>
  <si>
    <t xml:space="preserve">Valor Desembolso </t>
  </si>
  <si>
    <t>Cuota sin seguro deudor</t>
  </si>
  <si>
    <t>No. Desembolsos</t>
  </si>
  <si>
    <t>TOTAL</t>
  </si>
  <si>
    <t>Ciclo
 Cuatrimestral</t>
  </si>
  <si>
    <t>Parametros</t>
  </si>
  <si>
    <t xml:space="preserve">Escoja el Tipo Programa de Estudio </t>
  </si>
  <si>
    <t xml:space="preserve">Digite el Valor de Recibo de Matrícula </t>
  </si>
  <si>
    <t xml:space="preserve">Escoja plazo (meses) deseado después del ultimo desembolso </t>
  </si>
  <si>
    <t xml:space="preserve">Cuota Mensual sin seguro </t>
  </si>
  <si>
    <t xml:space="preserve">Cuotas Totales Aproximadas </t>
  </si>
  <si>
    <t xml:space="preserve">Digite el total de Períodos que desea financiar  </t>
  </si>
  <si>
    <t>Tipo de Estudio</t>
  </si>
  <si>
    <t>Ciclo según Meses</t>
  </si>
  <si>
    <t>Periodo por tipo de programa</t>
  </si>
  <si>
    <t>cuatrim</t>
  </si>
  <si>
    <t>PROYECCIÓN DE DESEMBOLSOS, PAGOS Y SALDO DEL CRÉDITO</t>
  </si>
  <si>
    <t>PROYECCIÓN DE DESEMBOLSOS</t>
  </si>
  <si>
    <r>
      <rPr>
        <b/>
        <sz val="11"/>
        <color rgb="FFC00000"/>
        <rFont val="Arial"/>
        <family val="2"/>
      </rPr>
      <t>AVISO:</t>
    </r>
    <r>
      <rPr>
        <sz val="11"/>
        <rFont val="Arial"/>
        <family val="2"/>
      </rPr>
      <t xml:space="preserve"> La proyección se hace a partir de un incremento anual de la matrícula del 6%. El número y valor de las cuotas se calcula con base en la proyección de los valores de la matrícula ingresados y una tasa de interés del 1.65% mensual (21.75% EA). El valor desembolsado tiene en cuenta los cobros admistrativos generados por la emisión y giro del cheque a la universidad, así como el 4 por mil. La cuota fija no incluye el seguro de deudor. Estas tasas y porcentaje de proyección están sujetas a cambios y se deben verificar al momento de suscribir el contrato de crédito educativo. Proyección de crédito para financiar pregrado o postgrado en Universidades en Colombia, aprobadas por el Ministerio de Educación y el Banco.   </t>
    </r>
  </si>
  <si>
    <t>SIMULADOR CRÉDITO EDUCATIVO AV VILLAS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</si>
</sst>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_);\(&quot;$&quot;\ #,##0\)"/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&quot;$&quot;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2" xfId="0" applyFont="1" applyBorder="1"/>
    <xf numFmtId="164" fontId="2" fillId="0" borderId="0" xfId="0" applyNumberFormat="1" applyFont="1"/>
    <xf numFmtId="43" fontId="2" fillId="0" borderId="0" xfId="0" applyNumberFormat="1" applyFont="1"/>
    <xf numFmtId="0" fontId="3" fillId="0" borderId="0" xfId="0" applyFont="1" applyBorder="1"/>
    <xf numFmtId="0" fontId="2" fillId="0" borderId="5" xfId="0" applyFont="1" applyBorder="1"/>
    <xf numFmtId="0" fontId="2" fillId="0" borderId="4" xfId="0" applyFont="1" applyBorder="1"/>
    <xf numFmtId="164" fontId="2" fillId="0" borderId="0" xfId="1" applyNumberFormat="1" applyFont="1"/>
    <xf numFmtId="0" fontId="2" fillId="0" borderId="6" xfId="0" applyFont="1" applyBorder="1"/>
    <xf numFmtId="0" fontId="2" fillId="0" borderId="8" xfId="0" applyFont="1" applyBorder="1"/>
    <xf numFmtId="0" fontId="3" fillId="0" borderId="9" xfId="0" applyFont="1" applyBorder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6" fontId="4" fillId="0" borderId="0" xfId="0" applyNumberFormat="1" applyFont="1" applyFill="1" applyBorder="1" applyProtection="1">
      <protection hidden="1"/>
    </xf>
    <xf numFmtId="14" fontId="7" fillId="0" borderId="0" xfId="0" applyNumberFormat="1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164" fontId="8" fillId="0" borderId="0" xfId="1" applyNumberFormat="1" applyFont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0" borderId="10" xfId="0" applyNumberFormat="1" applyFont="1" applyBorder="1" applyProtection="1">
      <protection hidden="1"/>
    </xf>
    <xf numFmtId="6" fontId="7" fillId="0" borderId="3" xfId="0" applyNumberFormat="1" applyFont="1" applyBorder="1" applyProtection="1">
      <protection hidden="1"/>
    </xf>
    <xf numFmtId="0" fontId="7" fillId="0" borderId="11" xfId="0" applyNumberFormat="1" applyFont="1" applyBorder="1" applyProtection="1">
      <protection hidden="1"/>
    </xf>
    <xf numFmtId="6" fontId="7" fillId="0" borderId="13" xfId="0" applyNumberFormat="1" applyFont="1" applyBorder="1" applyAlignment="1" applyProtection="1">
      <alignment horizontal="center" vertical="top"/>
      <protection hidden="1"/>
    </xf>
    <xf numFmtId="6" fontId="7" fillId="0" borderId="14" xfId="0" applyNumberFormat="1" applyFont="1" applyBorder="1" applyAlignment="1" applyProtection="1">
      <alignment horizontal="center" vertical="top"/>
      <protection hidden="1"/>
    </xf>
    <xf numFmtId="1" fontId="7" fillId="0" borderId="9" xfId="0" applyNumberFormat="1" applyFont="1" applyBorder="1" applyAlignment="1" applyProtection="1">
      <alignment horizontal="center"/>
      <protection hidden="1"/>
    </xf>
    <xf numFmtId="1" fontId="7" fillId="0" borderId="14" xfId="0" applyNumberFormat="1" applyFont="1" applyBorder="1" applyAlignment="1" applyProtection="1">
      <alignment horizontal="center"/>
      <protection hidden="1"/>
    </xf>
    <xf numFmtId="0" fontId="7" fillId="0" borderId="12" xfId="0" applyNumberFormat="1" applyFont="1" applyBorder="1" applyProtection="1">
      <protection hidden="1"/>
    </xf>
    <xf numFmtId="6" fontId="7" fillId="0" borderId="9" xfId="0" applyNumberFormat="1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2" fontId="4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9" fillId="0" borderId="0" xfId="0" applyFont="1" applyFill="1" applyProtection="1">
      <protection hidden="1"/>
    </xf>
    <xf numFmtId="6" fontId="7" fillId="0" borderId="12" xfId="0" applyNumberFormat="1" applyFont="1" applyBorder="1" applyProtection="1">
      <protection hidden="1"/>
    </xf>
    <xf numFmtId="164" fontId="7" fillId="0" borderId="10" xfId="1" applyNumberFormat="1" applyFont="1" applyBorder="1" applyProtection="1">
      <protection hidden="1"/>
    </xf>
    <xf numFmtId="164" fontId="7" fillId="0" borderId="11" xfId="1" applyNumberFormat="1" applyFont="1" applyBorder="1" applyProtection="1">
      <protection hidden="1"/>
    </xf>
    <xf numFmtId="164" fontId="7" fillId="0" borderId="12" xfId="1" applyNumberFormat="1" applyFont="1" applyBorder="1" applyProtection="1">
      <protection hidden="1"/>
    </xf>
    <xf numFmtId="0" fontId="2" fillId="0" borderId="0" xfId="0" applyFont="1" applyBorder="1"/>
    <xf numFmtId="0" fontId="3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164" fontId="7" fillId="3" borderId="9" xfId="1" applyNumberFormat="1" applyFont="1" applyFill="1" applyBorder="1" applyAlignment="1" applyProtection="1">
      <alignment horizontal="center" vertical="center"/>
      <protection locked="0" hidden="1"/>
    </xf>
    <xf numFmtId="5" fontId="7" fillId="3" borderId="9" xfId="3" applyNumberFormat="1" applyFont="1" applyFill="1" applyBorder="1" applyAlignment="1" applyProtection="1">
      <alignment horizontal="right"/>
      <protection locked="0"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Protection="1">
      <protection hidden="1"/>
    </xf>
    <xf numFmtId="164" fontId="3" fillId="0" borderId="0" xfId="1" applyNumberFormat="1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14" fontId="3" fillId="0" borderId="0" xfId="0" applyNumberFormat="1" applyFont="1"/>
    <xf numFmtId="0" fontId="3" fillId="0" borderId="3" xfId="0" applyFont="1" applyBorder="1"/>
    <xf numFmtId="0" fontId="3" fillId="0" borderId="8" xfId="0" applyFont="1" applyBorder="1"/>
    <xf numFmtId="0" fontId="7" fillId="0" borderId="10" xfId="0" applyFont="1" applyBorder="1" applyAlignment="1" applyProtection="1">
      <alignment horizontal="center" vertical="top" wrapText="1"/>
      <protection hidden="1"/>
    </xf>
    <xf numFmtId="0" fontId="3" fillId="0" borderId="0" xfId="0" applyFont="1" applyBorder="1" applyAlignment="1" applyProtection="1">
      <protection hidden="1"/>
    </xf>
    <xf numFmtId="6" fontId="7" fillId="0" borderId="13" xfId="0" applyNumberFormat="1" applyFont="1" applyBorder="1" applyAlignment="1" applyProtection="1">
      <alignment horizontal="left" vertical="top"/>
      <protection hidden="1"/>
    </xf>
    <xf numFmtId="1" fontId="7" fillId="2" borderId="0" xfId="0" applyNumberFormat="1" applyFont="1" applyFill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2" fillId="0" borderId="1" xfId="0" applyFont="1" applyBorder="1"/>
    <xf numFmtId="0" fontId="2" fillId="0" borderId="7" xfId="0" applyFont="1" applyBorder="1"/>
    <xf numFmtId="14" fontId="7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 applyProtection="1">
      <protection hidden="1"/>
    </xf>
    <xf numFmtId="0" fontId="10" fillId="0" borderId="9" xfId="0" applyFont="1" applyBorder="1"/>
    <xf numFmtId="0" fontId="10" fillId="0" borderId="9" xfId="0" applyFont="1" applyBorder="1" applyAlignment="1">
      <alignment wrapText="1"/>
    </xf>
    <xf numFmtId="0" fontId="6" fillId="0" borderId="0" xfId="0" applyFont="1"/>
    <xf numFmtId="14" fontId="6" fillId="0" borderId="0" xfId="0" applyNumberFormat="1" applyFont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165" fontId="7" fillId="0" borderId="9" xfId="3" applyNumberFormat="1" applyFont="1" applyBorder="1" applyAlignment="1" applyProtection="1">
      <alignment horizontal="center"/>
      <protection hidden="1"/>
    </xf>
    <xf numFmtId="0" fontId="5" fillId="0" borderId="2" xfId="0" applyFont="1" applyBorder="1"/>
    <xf numFmtId="164" fontId="5" fillId="0" borderId="0" xfId="1" applyNumberFormat="1" applyFont="1"/>
    <xf numFmtId="10" fontId="5" fillId="0" borderId="0" xfId="2" applyNumberFormat="1" applyFont="1"/>
    <xf numFmtId="0" fontId="5" fillId="0" borderId="0" xfId="0" applyFont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3" fillId="0" borderId="3" xfId="0" applyFont="1" applyBorder="1" applyProtection="1">
      <protection hidden="1"/>
    </xf>
    <xf numFmtId="0" fontId="7" fillId="4" borderId="9" xfId="0" applyFont="1" applyFill="1" applyBorder="1" applyAlignment="1" applyProtection="1">
      <alignment horizontal="center" vertical="center"/>
      <protection locked="0"/>
    </xf>
    <xf numFmtId="164" fontId="7" fillId="4" borderId="9" xfId="1" applyNumberFormat="1" applyFont="1" applyFill="1" applyBorder="1" applyAlignment="1" applyProtection="1">
      <alignment vertical="center"/>
      <protection locked="0"/>
    </xf>
    <xf numFmtId="5" fontId="7" fillId="4" borderId="9" xfId="3" applyNumberFormat="1" applyFont="1" applyFill="1" applyBorder="1" applyAlignment="1" applyProtection="1">
      <alignment horizontal="center"/>
      <protection locked="0"/>
    </xf>
    <xf numFmtId="164" fontId="7" fillId="4" borderId="9" xfId="1" applyNumberFormat="1" applyFont="1" applyFill="1" applyBorder="1" applyAlignment="1" applyProtection="1">
      <alignment horizontal="center"/>
      <protection locked="0"/>
    </xf>
    <xf numFmtId="0" fontId="12" fillId="5" borderId="10" xfId="0" applyFont="1" applyFill="1" applyBorder="1" applyAlignment="1" applyProtection="1">
      <alignment horizontal="center"/>
      <protection hidden="1"/>
    </xf>
    <xf numFmtId="0" fontId="12" fillId="5" borderId="9" xfId="0" applyFont="1" applyFill="1" applyBorder="1" applyAlignment="1" applyProtection="1">
      <alignment horizontal="center"/>
      <protection hidden="1"/>
    </xf>
    <xf numFmtId="164" fontId="12" fillId="5" borderId="9" xfId="1" applyNumberFormat="1" applyFont="1" applyFill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14" fillId="0" borderId="0" xfId="0" applyFont="1" applyFill="1" applyProtection="1">
      <protection hidden="1"/>
    </xf>
    <xf numFmtId="164" fontId="7" fillId="3" borderId="0" xfId="1" applyNumberFormat="1" applyFont="1" applyFill="1" applyBorder="1" applyAlignment="1" applyProtection="1">
      <alignment horizontal="center" vertical="center"/>
      <protection locked="0" hidden="1"/>
    </xf>
    <xf numFmtId="5" fontId="7" fillId="3" borderId="0" xfId="3" applyNumberFormat="1" applyFont="1" applyFill="1" applyBorder="1" applyAlignment="1" applyProtection="1">
      <alignment horizontal="right"/>
      <protection locked="0" hidden="1"/>
    </xf>
    <xf numFmtId="6" fontId="7" fillId="0" borderId="0" xfId="0" applyNumberFormat="1" applyFont="1" applyBorder="1" applyProtection="1">
      <protection hidden="1"/>
    </xf>
    <xf numFmtId="6" fontId="7" fillId="0" borderId="1" xfId="0" applyNumberFormat="1" applyFont="1" applyBorder="1" applyProtection="1">
      <protection hidden="1"/>
    </xf>
    <xf numFmtId="0" fontId="3" fillId="0" borderId="7" xfId="0" applyFont="1" applyBorder="1"/>
    <xf numFmtId="0" fontId="3" fillId="0" borderId="8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6" fillId="0" borderId="16" xfId="0" applyFont="1" applyBorder="1" applyAlignment="1" applyProtection="1">
      <protection hidden="1"/>
    </xf>
    <xf numFmtId="0" fontId="6" fillId="0" borderId="17" xfId="0" applyFont="1" applyBorder="1" applyAlignment="1" applyProtection="1">
      <protection hidden="1"/>
    </xf>
    <xf numFmtId="0" fontId="6" fillId="0" borderId="18" xfId="0" applyFont="1" applyBorder="1" applyAlignment="1" applyProtection="1">
      <protection hidden="1"/>
    </xf>
    <xf numFmtId="0" fontId="11" fillId="5" borderId="19" xfId="0" applyFont="1" applyFill="1" applyBorder="1" applyAlignment="1" applyProtection="1">
      <alignment horizontal="center" vertical="center" wrapText="1"/>
      <protection hidden="1"/>
    </xf>
    <xf numFmtId="9" fontId="11" fillId="5" borderId="20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20" xfId="0" applyFont="1" applyFill="1" applyBorder="1" applyAlignment="1" applyProtection="1">
      <alignment horizontal="center" vertical="center" wrapText="1"/>
      <protection hidden="1"/>
    </xf>
    <xf numFmtId="0" fontId="11" fillId="5" borderId="21" xfId="0" applyFont="1" applyFill="1" applyBorder="1" applyAlignment="1" applyProtection="1">
      <alignment horizontal="center" vertical="center" wrapText="1"/>
      <protection hidden="1"/>
    </xf>
    <xf numFmtId="0" fontId="8" fillId="0" borderId="22" xfId="0" applyFont="1" applyBorder="1" applyProtection="1">
      <protection hidden="1"/>
    </xf>
    <xf numFmtId="164" fontId="8" fillId="0" borderId="23" xfId="1" applyNumberFormat="1" applyFont="1" applyBorder="1" applyProtection="1">
      <protection hidden="1"/>
    </xf>
    <xf numFmtId="0" fontId="8" fillId="0" borderId="24" xfId="0" applyFont="1" applyBorder="1" applyProtection="1">
      <protection hidden="1"/>
    </xf>
    <xf numFmtId="164" fontId="8" fillId="0" borderId="25" xfId="1" applyNumberFormat="1" applyFont="1" applyBorder="1" applyProtection="1">
      <protection hidden="1"/>
    </xf>
    <xf numFmtId="164" fontId="8" fillId="0" borderId="26" xfId="1" applyNumberFormat="1" applyFont="1" applyBorder="1" applyProtection="1">
      <protection hidden="1"/>
    </xf>
    <xf numFmtId="6" fontId="7" fillId="0" borderId="25" xfId="0" applyNumberFormat="1" applyFont="1" applyBorder="1" applyProtection="1">
      <protection hidden="1"/>
    </xf>
    <xf numFmtId="6" fontId="7" fillId="0" borderId="5" xfId="0" applyNumberFormat="1" applyFont="1" applyBorder="1" applyAlignment="1" applyProtection="1">
      <alignment horizontal="left" vertical="top"/>
      <protection hidden="1"/>
    </xf>
    <xf numFmtId="6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9" xfId="0" applyNumberFormat="1" applyFont="1" applyFill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3" fillId="5" borderId="13" xfId="0" applyFont="1" applyFill="1" applyBorder="1" applyAlignment="1" applyProtection="1">
      <alignment horizontal="center"/>
      <protection hidden="1"/>
    </xf>
    <xf numFmtId="0" fontId="13" fillId="5" borderId="15" xfId="0" applyFont="1" applyFill="1" applyBorder="1" applyAlignment="1" applyProtection="1">
      <alignment horizontal="center"/>
      <protection hidden="1"/>
    </xf>
    <xf numFmtId="0" fontId="13" fillId="5" borderId="14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8" xfId="0" applyFont="1" applyBorder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 vertical="top" wrapText="1"/>
      <protection hidden="1"/>
    </xf>
    <xf numFmtId="0" fontId="4" fillId="6" borderId="23" xfId="0" applyFont="1" applyFill="1" applyBorder="1" applyAlignment="1" applyProtection="1">
      <alignment horizontal="center" vertical="top" wrapText="1"/>
      <protection hidden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168090</xdr:colOff>
      <xdr:row>0</xdr:row>
      <xdr:rowOff>100853</xdr:rowOff>
    </xdr:from>
    <xdr:to>
      <xdr:col>1</xdr:col>
      <xdr:colOff>1266267</xdr:colOff>
      <xdr:row>2</xdr:row>
      <xdr:rowOff>137993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90" y="100853"/>
          <a:ext cx="2487706" cy="429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144"/>
  <sheetViews>
    <sheetView showGridLines="0" showRowColHeaders="0" tabSelected="1" zoomScale="85" zoomScaleNormal="85" workbookViewId="0">
      <selection activeCell="D7" sqref="D7"/>
    </sheetView>
  </sheetViews>
  <sheetFormatPr baseColWidth="10" defaultRowHeight="12.75" x14ac:dyDescent="0.2"/>
  <cols>
    <col min="1" max="3" width="20.85546875" style="15" customWidth="1"/>
    <col min="4" max="4" width="21.5703125" style="15" customWidth="1"/>
    <col min="5" max="5" width="19.7109375" style="15" bestFit="1" customWidth="1"/>
    <col min="6" max="6" width="6.140625" style="33" customWidth="1"/>
    <col min="7" max="7" width="14.140625" style="18" bestFit="1" customWidth="1"/>
    <col min="8" max="9" width="12.85546875" style="18" bestFit="1" customWidth="1"/>
    <col min="10" max="10" width="12.85546875" style="18" customWidth="1"/>
    <col min="11" max="11" width="15.140625" style="18" bestFit="1" customWidth="1"/>
    <col min="12" max="16384" width="11.42578125" style="15"/>
  </cols>
  <sheetData>
    <row r="1" spans="1:11" ht="18.75" customHeight="1" x14ac:dyDescent="0.25">
      <c r="A1" s="113" t="s">
        <v>59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2.75" customHeight="1" x14ac:dyDescent="0.25">
      <c r="C2" s="61"/>
      <c r="D2" s="61"/>
      <c r="E2" s="61"/>
      <c r="F2" s="61"/>
      <c r="G2" s="61"/>
      <c r="H2" s="61"/>
      <c r="I2" s="61"/>
      <c r="J2" s="61"/>
      <c r="K2" s="61"/>
    </row>
    <row r="3" spans="1:11" ht="12.75" customHeight="1" thickBot="1" x14ac:dyDescent="0.3">
      <c r="C3" s="61"/>
      <c r="D3" s="61"/>
      <c r="E3" s="61"/>
      <c r="F3" s="61"/>
      <c r="G3" s="61"/>
      <c r="H3" s="61"/>
      <c r="I3" s="61"/>
      <c r="J3" s="61"/>
      <c r="K3" s="61"/>
    </row>
    <row r="4" spans="1:11" ht="16.5" thickBot="1" x14ac:dyDescent="0.3">
      <c r="A4" s="84" t="s">
        <v>14</v>
      </c>
      <c r="C4" s="61"/>
      <c r="D4" s="61"/>
      <c r="E4" s="61"/>
      <c r="F4" s="93"/>
      <c r="G4" s="94"/>
      <c r="H4" s="94"/>
      <c r="I4" s="94"/>
      <c r="J4" s="94"/>
      <c r="K4" s="95"/>
    </row>
    <row r="5" spans="1:11" ht="15" x14ac:dyDescent="0.25">
      <c r="A5" s="108">
        <f ca="1">TODAY()</f>
        <v>42689</v>
      </c>
      <c r="F5" s="114" t="s">
        <v>56</v>
      </c>
      <c r="G5" s="115"/>
      <c r="H5" s="115"/>
      <c r="I5" s="115"/>
      <c r="J5" s="115"/>
      <c r="K5" s="116"/>
    </row>
    <row r="6" spans="1:11" ht="38.25" x14ac:dyDescent="0.25">
      <c r="C6" s="17"/>
      <c r="F6" s="96" t="s">
        <v>12</v>
      </c>
      <c r="G6" s="97" t="s">
        <v>3</v>
      </c>
      <c r="H6" s="98" t="s">
        <v>41</v>
      </c>
      <c r="I6" s="97" t="s">
        <v>11</v>
      </c>
      <c r="J6" s="97" t="s">
        <v>19</v>
      </c>
      <c r="K6" s="99" t="s">
        <v>6</v>
      </c>
    </row>
    <row r="7" spans="1:11" ht="13.5" customHeight="1" x14ac:dyDescent="0.2">
      <c r="C7" s="60" t="s">
        <v>46</v>
      </c>
      <c r="D7" s="77" t="s">
        <v>17</v>
      </c>
      <c r="F7" s="100">
        <v>0</v>
      </c>
      <c r="G7" s="19">
        <f>+D25</f>
        <v>3536873.4248995986</v>
      </c>
      <c r="H7" s="19"/>
      <c r="I7" s="19"/>
      <c r="J7" s="19"/>
      <c r="K7" s="101">
        <f>+G7</f>
        <v>3536873.4248995986</v>
      </c>
    </row>
    <row r="8" spans="1:11" ht="13.5" customHeight="1" x14ac:dyDescent="0.2">
      <c r="A8" s="20"/>
      <c r="C8" s="14"/>
      <c r="F8" s="100">
        <f t="shared" ref="F8:F39" si="0">IFERROR(IF(F7+1&lt;=$D$17,F7+1,""),"")</f>
        <v>1</v>
      </c>
      <c r="G8" s="19">
        <f>IFERROR(IF($D$7="semestral",VLOOKUP((F8/6)+1,$B$25:$D$39,3,0),IF($D$7="anual",VLOOKUP((F8/12)+1,$B$25:$D$39,3,0),IF($D$7="cuatrimestral",VLOOKUP((F8/4)+1,$B$25:$D$39,3,0),0))),0)</f>
        <v>0</v>
      </c>
      <c r="H8" s="19">
        <f t="shared" ref="H8:H39" ca="1" si="1">IF(F8&lt;$D$17,$D$15,IF(F8=$D$17,K7+I8,0))</f>
        <v>508892.3572099625</v>
      </c>
      <c r="I8" s="19">
        <f>IF(K7&gt;0,K7*Parametros!$B$4,0)</f>
        <v>58482.846717149681</v>
      </c>
      <c r="J8" s="19">
        <f t="shared" ref="J8:J39" ca="1" si="2">+H8-I8</f>
        <v>450409.51049281284</v>
      </c>
      <c r="K8" s="101">
        <f t="shared" ref="K8:K39" ca="1" si="3">+K7+I8-H8+G8</f>
        <v>3086463.9144067857</v>
      </c>
    </row>
    <row r="9" spans="1:11" ht="13.5" customHeight="1" x14ac:dyDescent="0.25">
      <c r="C9" s="66" t="s">
        <v>51</v>
      </c>
      <c r="D9" s="78">
        <v>10</v>
      </c>
      <c r="E9" s="85" t="str">
        <f>IF(AND(D7="ANUAL",D9&lt;=5),"OK",IF(AND(D7="SEMESTRAL",D9&lt;=10),"OK",IF(AND(D7="CUATRIMESTRAL",D9&lt;=15),"OK","VALOR ERRADO")))</f>
        <v>OK</v>
      </c>
      <c r="F9" s="100">
        <f t="shared" si="0"/>
        <v>2</v>
      </c>
      <c r="G9" s="19">
        <f t="shared" ref="G9:G39" si="4">IFERROR(IF($D$7="semestral",VLOOKUP((F9/6)+1,$B$25:$D$39,3,0),IF($D$7="anual",VLOOKUP((F9/12)+1,$B$25:$D$39,3,0),IF($D$7="cuatrimestral",VLOOKUP((F9/4)+1,$B$25:$D$39,3,0),0))),0)</f>
        <v>0</v>
      </c>
      <c r="H9" s="19">
        <f t="shared" ca="1" si="1"/>
        <v>508892.3572099625</v>
      </c>
      <c r="I9" s="19">
        <f ca="1">IF(K8&gt;0,K8*Parametros!$B$4,0)</f>
        <v>51035.243368764277</v>
      </c>
      <c r="J9" s="19">
        <f t="shared" ca="1" si="2"/>
        <v>457857.11384119821</v>
      </c>
      <c r="K9" s="101">
        <f t="shared" ca="1" si="3"/>
        <v>2628606.8005655878</v>
      </c>
    </row>
    <row r="10" spans="1:11" ht="13.5" customHeight="1" x14ac:dyDescent="0.2">
      <c r="C10" s="14"/>
      <c r="F10" s="100">
        <f t="shared" si="0"/>
        <v>3</v>
      </c>
      <c r="G10" s="19">
        <f t="shared" si="4"/>
        <v>0</v>
      </c>
      <c r="H10" s="19">
        <f t="shared" ca="1" si="1"/>
        <v>508892.3572099625</v>
      </c>
      <c r="I10" s="19">
        <f ca="1">IF(K9&gt;0,K9*Parametros!$B$4,0)</f>
        <v>43464.492541600754</v>
      </c>
      <c r="J10" s="19">
        <f t="shared" ca="1" si="2"/>
        <v>465427.86466836173</v>
      </c>
      <c r="K10" s="101">
        <f t="shared" ca="1" si="3"/>
        <v>2163178.9358972264</v>
      </c>
    </row>
    <row r="11" spans="1:11" ht="13.5" customHeight="1" x14ac:dyDescent="0.25">
      <c r="C11" s="66" t="s">
        <v>47</v>
      </c>
      <c r="D11" s="79">
        <v>3500000</v>
      </c>
      <c r="F11" s="100">
        <f t="shared" si="0"/>
        <v>4</v>
      </c>
      <c r="G11" s="19">
        <f t="shared" si="4"/>
        <v>0</v>
      </c>
      <c r="H11" s="19">
        <f t="shared" ca="1" si="1"/>
        <v>508892.3572099625</v>
      </c>
      <c r="I11" s="19">
        <f ca="1">IF(K10&gt;0,K10*Parametros!$B$4,0)</f>
        <v>35768.557969652436</v>
      </c>
      <c r="J11" s="19">
        <f t="shared" ca="1" si="2"/>
        <v>473123.79924031009</v>
      </c>
      <c r="K11" s="101">
        <f t="shared" ca="1" si="3"/>
        <v>1690055.1366569165</v>
      </c>
    </row>
    <row r="12" spans="1:11" ht="13.5" customHeight="1" x14ac:dyDescent="0.2">
      <c r="C12" s="14"/>
      <c r="F12" s="100">
        <f t="shared" si="0"/>
        <v>5</v>
      </c>
      <c r="G12" s="19">
        <f t="shared" si="4"/>
        <v>0</v>
      </c>
      <c r="H12" s="19">
        <f t="shared" ca="1" si="1"/>
        <v>508892.3572099625</v>
      </c>
      <c r="I12" s="19">
        <f ca="1">IF(K11&gt;0,K11*Parametros!$B$4,0)</f>
        <v>27945.369716883113</v>
      </c>
      <c r="J12" s="19">
        <f t="shared" ca="1" si="2"/>
        <v>480946.98749307939</v>
      </c>
      <c r="K12" s="101">
        <f t="shared" ca="1" si="3"/>
        <v>1209108.1491638371</v>
      </c>
    </row>
    <row r="13" spans="1:11" ht="13.5" customHeight="1" x14ac:dyDescent="0.25">
      <c r="C13" s="67" t="s">
        <v>48</v>
      </c>
      <c r="D13" s="80">
        <v>60</v>
      </c>
      <c r="F13" s="100">
        <f t="shared" si="0"/>
        <v>6</v>
      </c>
      <c r="G13" s="19">
        <f t="shared" ca="1" si="4"/>
        <v>3536873.4248995986</v>
      </c>
      <c r="H13" s="19">
        <f t="shared" ca="1" si="1"/>
        <v>508892.3572099625</v>
      </c>
      <c r="I13" s="19">
        <f ca="1">IF(K12&gt;0,K12*Parametros!$B$4,0)</f>
        <v>19992.823620486939</v>
      </c>
      <c r="J13" s="19">
        <f t="shared" ca="1" si="2"/>
        <v>488899.53358947556</v>
      </c>
      <c r="K13" s="101">
        <f t="shared" ca="1" si="3"/>
        <v>4257082.0404739603</v>
      </c>
    </row>
    <row r="14" spans="1:11" ht="13.5" customHeight="1" x14ac:dyDescent="0.2">
      <c r="D14" s="109" t="str">
        <f>IF(D13=6,IF(D9&gt;1,"Error. Verifique plazo en la lista deplegable.",""),"")</f>
        <v/>
      </c>
      <c r="F14" s="100">
        <f t="shared" si="0"/>
        <v>7</v>
      </c>
      <c r="G14" s="19">
        <f t="shared" si="4"/>
        <v>0</v>
      </c>
      <c r="H14" s="19">
        <f t="shared" ca="1" si="1"/>
        <v>508892.3572099625</v>
      </c>
      <c r="I14" s="19">
        <f ca="1">IF(K13&gt;0,K13*Parametros!$B$4,0)</f>
        <v>70391.627442092256</v>
      </c>
      <c r="J14" s="19">
        <f t="shared" ca="1" si="2"/>
        <v>438500.72976787027</v>
      </c>
      <c r="K14" s="101">
        <f t="shared" ca="1" si="3"/>
        <v>3818581.3107060906</v>
      </c>
    </row>
    <row r="15" spans="1:11" ht="13.5" customHeight="1" x14ac:dyDescent="0.25">
      <c r="C15" s="67" t="s">
        <v>49</v>
      </c>
      <c r="D15" s="68">
        <f ca="1">IF(D7="semestral",VLOOKUP(D13,Parametros!$G$42:$H$46,2,0),IF(D7="anual",VLOOKUP(D13,Parametros!$M$42:$N$46,2,0),VLOOKUP(D13,Parametros!$S$42:$T$46,2,0)))</f>
        <v>508892.3572099625</v>
      </c>
      <c r="F15" s="100">
        <f t="shared" si="0"/>
        <v>8</v>
      </c>
      <c r="G15" s="19">
        <f t="shared" si="4"/>
        <v>0</v>
      </c>
      <c r="H15" s="19">
        <f t="shared" ca="1" si="1"/>
        <v>508892.3572099625</v>
      </c>
      <c r="I15" s="19">
        <f ca="1">IF(K14&gt;0,K14*Parametros!$B$4,0)</f>
        <v>63140.937953507979</v>
      </c>
      <c r="J15" s="19">
        <f t="shared" ca="1" si="2"/>
        <v>445751.41925645451</v>
      </c>
      <c r="K15" s="101">
        <f t="shared" ca="1" si="3"/>
        <v>3372829.8914496363</v>
      </c>
    </row>
    <row r="16" spans="1:11" ht="13.5" customHeight="1" x14ac:dyDescent="0.2">
      <c r="F16" s="100">
        <f t="shared" si="0"/>
        <v>9</v>
      </c>
      <c r="G16" s="19">
        <f t="shared" si="4"/>
        <v>0</v>
      </c>
      <c r="H16" s="19">
        <f t="shared" ca="1" si="1"/>
        <v>508892.3572099625</v>
      </c>
      <c r="I16" s="19">
        <f ca="1">IF(K15&gt;0,K15*Parametros!$B$4,0)</f>
        <v>55770.356992707224</v>
      </c>
      <c r="J16" s="19">
        <f t="shared" ca="1" si="2"/>
        <v>453122.00021725526</v>
      </c>
      <c r="K16" s="101">
        <f t="shared" ca="1" si="3"/>
        <v>2919707.8912323811</v>
      </c>
    </row>
    <row r="17" spans="2:11" ht="13.5" customHeight="1" x14ac:dyDescent="0.25">
      <c r="C17" s="67" t="s">
        <v>50</v>
      </c>
      <c r="D17" s="26">
        <f>IF(D7="semestral",VLOOKUP(D13,Parametros!$G$42:$I$46,3,0),IF(D7="anual",VLOOKUP(D13,Parametros!$M$42:$O$46,3,0),VLOOKUP(D13,Parametros!$S$42:$U$46,3,0)))</f>
        <v>114</v>
      </c>
      <c r="F17" s="100">
        <f t="shared" si="0"/>
        <v>10</v>
      </c>
      <c r="G17" s="19">
        <f t="shared" si="4"/>
        <v>0</v>
      </c>
      <c r="H17" s="19">
        <f t="shared" ca="1" si="1"/>
        <v>508892.3572099625</v>
      </c>
      <c r="I17" s="19">
        <f ca="1">IF(K16&gt;0,K16*Parametros!$B$4,0)</f>
        <v>48277.902132345276</v>
      </c>
      <c r="J17" s="19">
        <f t="shared" ca="1" si="2"/>
        <v>460614.4550776172</v>
      </c>
      <c r="K17" s="101">
        <f t="shared" ca="1" si="3"/>
        <v>2459093.4361547641</v>
      </c>
    </row>
    <row r="18" spans="2:11" ht="13.5" customHeight="1" x14ac:dyDescent="0.25">
      <c r="D18" s="26" t="str">
        <f>CONCATENATE(ROUND(D17/12,1)," AÑOS")</f>
        <v>9.5 AÑOS</v>
      </c>
      <c r="F18" s="100">
        <f t="shared" si="0"/>
        <v>11</v>
      </c>
      <c r="G18" s="19">
        <f t="shared" si="4"/>
        <v>0</v>
      </c>
      <c r="H18" s="19">
        <f t="shared" ca="1" si="1"/>
        <v>508892.3572099625</v>
      </c>
      <c r="I18" s="19">
        <f ca="1">IF(K17&gt;0,K17*Parametros!$B$4,0)</f>
        <v>40661.558165279959</v>
      </c>
      <c r="J18" s="19">
        <f t="shared" ca="1" si="2"/>
        <v>468230.79904468253</v>
      </c>
      <c r="K18" s="101">
        <f t="shared" ca="1" si="3"/>
        <v>1990862.6371100817</v>
      </c>
    </row>
    <row r="19" spans="2:11" ht="13.5" customHeight="1" x14ac:dyDescent="0.2">
      <c r="E19" s="14"/>
      <c r="F19" s="100">
        <f t="shared" si="0"/>
        <v>12</v>
      </c>
      <c r="G19" s="19">
        <f ca="1">IFERROR(IF($D$7="semestral",VLOOKUP((F19/6)+1,$B$25:$D$39,3,0),IF($D$7="anual",VLOOKUP((F19/12)+1,$B$25:$D$39,3,0),IF($D$7="cuatrimestral",VLOOKUP((F19/4)+1,$B$25:$D$39,3,0),0))),0)</f>
        <v>3747716.7983935745</v>
      </c>
      <c r="H19" s="19">
        <f t="shared" ca="1" si="1"/>
        <v>508892.3572099625</v>
      </c>
      <c r="I19" s="19">
        <f ca="1">IF(K18&gt;0,K18*Parametros!$B$4,0)</f>
        <v>32919.276562551691</v>
      </c>
      <c r="J19" s="19">
        <f t="shared" ca="1" si="2"/>
        <v>475973.08064741082</v>
      </c>
      <c r="K19" s="101">
        <f t="shared" ca="1" si="3"/>
        <v>5262606.3548562452</v>
      </c>
    </row>
    <row r="20" spans="2:11" ht="13.5" customHeight="1" x14ac:dyDescent="0.25">
      <c r="C20" s="67" t="s">
        <v>16</v>
      </c>
      <c r="D20" s="56" t="str">
        <f>CONCATENATE(ROUND(Parametros!B4*100,2)," m.v.")</f>
        <v>1.65 m.v.</v>
      </c>
      <c r="F20" s="100">
        <f t="shared" si="0"/>
        <v>13</v>
      </c>
      <c r="G20" s="19">
        <f t="shared" si="4"/>
        <v>0</v>
      </c>
      <c r="H20" s="19">
        <f t="shared" ca="1" si="1"/>
        <v>508892.3572099625</v>
      </c>
      <c r="I20" s="19">
        <f ca="1">IF(K19&gt;0,K19*Parametros!$B$4,0)</f>
        <v>87018.155248937794</v>
      </c>
      <c r="J20" s="19">
        <f t="shared" ca="1" si="2"/>
        <v>421874.20196102472</v>
      </c>
      <c r="K20" s="101">
        <f t="shared" ca="1" si="3"/>
        <v>4840732.1528952206</v>
      </c>
    </row>
    <row r="21" spans="2:11" ht="13.5" customHeight="1" x14ac:dyDescent="0.25">
      <c r="D21" s="56" t="str">
        <f>CONCATENATE(ROUND(Parametros!B2*100,2)," e.a.")</f>
        <v>21.75 e.a.</v>
      </c>
      <c r="F21" s="100">
        <f t="shared" si="0"/>
        <v>14</v>
      </c>
      <c r="G21" s="19">
        <f t="shared" si="4"/>
        <v>0</v>
      </c>
      <c r="H21" s="19">
        <f t="shared" ca="1" si="1"/>
        <v>508892.3572099625</v>
      </c>
      <c r="I21" s="19">
        <f ca="1">IF(K20&gt;0,K20*Parametros!$B$4,0)</f>
        <v>80042.388428018327</v>
      </c>
      <c r="J21" s="19">
        <f t="shared" ca="1" si="2"/>
        <v>428849.96878194419</v>
      </c>
      <c r="K21" s="101">
        <f t="shared" ca="1" si="3"/>
        <v>4411882.1841132762</v>
      </c>
    </row>
    <row r="22" spans="2:11" ht="13.5" customHeight="1" x14ac:dyDescent="0.2">
      <c r="E22" s="14"/>
      <c r="F22" s="100">
        <f t="shared" si="0"/>
        <v>15</v>
      </c>
      <c r="G22" s="19">
        <f t="shared" si="4"/>
        <v>0</v>
      </c>
      <c r="H22" s="19">
        <f t="shared" ca="1" si="1"/>
        <v>508892.3572099625</v>
      </c>
      <c r="I22" s="19">
        <f ca="1">IF(K21&gt;0,K21*Parametros!$B$4,0)</f>
        <v>72951.276031300076</v>
      </c>
      <c r="J22" s="19">
        <f t="shared" ca="1" si="2"/>
        <v>435941.08117866243</v>
      </c>
      <c r="K22" s="101">
        <f t="shared" ca="1" si="3"/>
        <v>3975941.1029346143</v>
      </c>
    </row>
    <row r="23" spans="2:11" ht="13.5" customHeight="1" x14ac:dyDescent="0.2">
      <c r="B23" s="110" t="s">
        <v>57</v>
      </c>
      <c r="C23" s="111"/>
      <c r="D23" s="112"/>
      <c r="F23" s="100">
        <f t="shared" si="0"/>
        <v>16</v>
      </c>
      <c r="G23" s="19">
        <f t="shared" si="4"/>
        <v>0</v>
      </c>
      <c r="H23" s="19">
        <f t="shared" ca="1" si="1"/>
        <v>508892.3572099625</v>
      </c>
      <c r="I23" s="19">
        <f ca="1">IF(K22&gt;0,K22*Parametros!$B$4,0)</f>
        <v>65742.910798664147</v>
      </c>
      <c r="J23" s="19">
        <f t="shared" ca="1" si="2"/>
        <v>443149.44641129836</v>
      </c>
      <c r="K23" s="101">
        <f t="shared" ca="1" si="3"/>
        <v>3532791.6565233162</v>
      </c>
    </row>
    <row r="24" spans="2:11" ht="13.5" customHeight="1" x14ac:dyDescent="0.25">
      <c r="B24" s="81" t="s">
        <v>42</v>
      </c>
      <c r="C24" s="81" t="s">
        <v>13</v>
      </c>
      <c r="D24" s="82" t="s">
        <v>40</v>
      </c>
      <c r="F24" s="100">
        <f t="shared" si="0"/>
        <v>17</v>
      </c>
      <c r="G24" s="19">
        <f t="shared" si="4"/>
        <v>0</v>
      </c>
      <c r="H24" s="19">
        <f t="shared" ca="1" si="1"/>
        <v>508892.3572099625</v>
      </c>
      <c r="I24" s="19">
        <f ca="1">IF(K23&gt;0,K23*Parametros!$B$4,0)</f>
        <v>58415.353933097955</v>
      </c>
      <c r="J24" s="19">
        <f t="shared" ca="1" si="2"/>
        <v>450477.00327686453</v>
      </c>
      <c r="K24" s="101">
        <f t="shared" ca="1" si="3"/>
        <v>3082314.6532464516</v>
      </c>
    </row>
    <row r="25" spans="2:11" ht="13.5" customHeight="1" x14ac:dyDescent="0.25">
      <c r="B25" s="35">
        <f>+Parametros!G22+Parametros!M22+Parametros!S22</f>
        <v>1</v>
      </c>
      <c r="C25" s="35">
        <f>+Parametros!H22+Parametros!N22+Parametros!T22</f>
        <v>3500000</v>
      </c>
      <c r="D25" s="22">
        <f>+Parametros!I22+Parametros!O22+Parametros!U22</f>
        <v>3536873.4248995986</v>
      </c>
      <c r="F25" s="100">
        <f t="shared" si="0"/>
        <v>18</v>
      </c>
      <c r="G25" s="19">
        <f t="shared" ca="1" si="4"/>
        <v>3747716.7983935745</v>
      </c>
      <c r="H25" s="19">
        <f t="shared" ca="1" si="1"/>
        <v>508892.3572099625</v>
      </c>
      <c r="I25" s="19">
        <f ca="1">IF(K24&gt;0,K24*Parametros!$B$4,0)</f>
        <v>50966.634579226913</v>
      </c>
      <c r="J25" s="19">
        <f t="shared" ca="1" si="2"/>
        <v>457925.7226307356</v>
      </c>
      <c r="K25" s="101">
        <f t="shared" ca="1" si="3"/>
        <v>6372105.7290092912</v>
      </c>
    </row>
    <row r="26" spans="2:11" ht="13.5" customHeight="1" x14ac:dyDescent="0.25">
      <c r="B26" s="36">
        <f>+Parametros!G23+Parametros!M23+Parametros!S23</f>
        <v>2</v>
      </c>
      <c r="C26" s="36">
        <f ca="1">+Parametros!H23+Parametros!N23+Parametros!T23</f>
        <v>3500000</v>
      </c>
      <c r="D26" s="22">
        <f ca="1">+Parametros!I23+Parametros!O23+Parametros!U23</f>
        <v>3536873.4248995986</v>
      </c>
      <c r="F26" s="100">
        <f t="shared" si="0"/>
        <v>19</v>
      </c>
      <c r="G26" s="19">
        <f t="shared" si="4"/>
        <v>0</v>
      </c>
      <c r="H26" s="19">
        <f t="shared" ca="1" si="1"/>
        <v>508892.3572099625</v>
      </c>
      <c r="I26" s="19">
        <f ca="1">IF(K25&gt;0,K25*Parametros!$B$4,0)</f>
        <v>105363.92961976025</v>
      </c>
      <c r="J26" s="19">
        <f t="shared" ca="1" si="2"/>
        <v>403528.42759020225</v>
      </c>
      <c r="K26" s="101">
        <f t="shared" ca="1" si="3"/>
        <v>5968577.3014190886</v>
      </c>
    </row>
    <row r="27" spans="2:11" ht="13.5" customHeight="1" x14ac:dyDescent="0.25">
      <c r="B27" s="36">
        <f>+Parametros!G24+Parametros!M24+Parametros!S24</f>
        <v>3</v>
      </c>
      <c r="C27" s="36">
        <f ca="1">+Parametros!H24+Parametros!N24+Parametros!T24</f>
        <v>3710000</v>
      </c>
      <c r="D27" s="22">
        <f ca="1">+Parametros!I24+Parametros!O24+Parametros!U24</f>
        <v>3747716.7983935745</v>
      </c>
      <c r="F27" s="100">
        <f t="shared" si="0"/>
        <v>20</v>
      </c>
      <c r="G27" s="19">
        <f t="shared" si="4"/>
        <v>0</v>
      </c>
      <c r="H27" s="19">
        <f t="shared" ca="1" si="1"/>
        <v>508892.3572099625</v>
      </c>
      <c r="I27" s="19">
        <f ca="1">IF(K26&gt;0,K26*Parametros!$B$4,0)</f>
        <v>98691.513521793677</v>
      </c>
      <c r="J27" s="19">
        <f t="shared" ca="1" si="2"/>
        <v>410200.8436881688</v>
      </c>
      <c r="K27" s="101">
        <f t="shared" ca="1" si="3"/>
        <v>5558376.4577309191</v>
      </c>
    </row>
    <row r="28" spans="2:11" ht="13.5" customHeight="1" x14ac:dyDescent="0.25">
      <c r="B28" s="36">
        <f>+Parametros!G25+Parametros!M25+Parametros!S25</f>
        <v>4</v>
      </c>
      <c r="C28" s="36">
        <f ca="1">+Parametros!H25+Parametros!N25+Parametros!T25</f>
        <v>3710000</v>
      </c>
      <c r="D28" s="22">
        <f ca="1">+Parametros!I25+Parametros!O25+Parametros!U25</f>
        <v>3747716.7983935745</v>
      </c>
      <c r="F28" s="100">
        <f t="shared" si="0"/>
        <v>21</v>
      </c>
      <c r="G28" s="19">
        <f t="shared" si="4"/>
        <v>0</v>
      </c>
      <c r="H28" s="19">
        <f t="shared" ca="1" si="1"/>
        <v>508892.3572099625</v>
      </c>
      <c r="I28" s="19">
        <f ca="1">IF(K27&gt;0,K27*Parametros!$B$4,0)</f>
        <v>91908.767807521566</v>
      </c>
      <c r="J28" s="19">
        <f t="shared" ca="1" si="2"/>
        <v>416983.58940244094</v>
      </c>
      <c r="K28" s="101">
        <f t="shared" ca="1" si="3"/>
        <v>5141392.8683284782</v>
      </c>
    </row>
    <row r="29" spans="2:11" ht="13.5" customHeight="1" x14ac:dyDescent="0.25">
      <c r="B29" s="36">
        <f>+Parametros!G26+Parametros!M26+Parametros!S26</f>
        <v>5</v>
      </c>
      <c r="C29" s="36">
        <f ca="1">+Parametros!H26+Parametros!N26+Parametros!T26</f>
        <v>3932600</v>
      </c>
      <c r="D29" s="22">
        <f ca="1">+Parametros!I26+Parametros!O26+Parametros!U26</f>
        <v>3971210.774297189</v>
      </c>
      <c r="F29" s="100">
        <f t="shared" si="0"/>
        <v>22</v>
      </c>
      <c r="G29" s="19">
        <f t="shared" si="4"/>
        <v>0</v>
      </c>
      <c r="H29" s="19">
        <f t="shared" ca="1" si="1"/>
        <v>508892.3572099625</v>
      </c>
      <c r="I29" s="19">
        <f ca="1">IF(K28&gt;0,K28*Parametros!$B$4,0)</f>
        <v>85013.86815662944</v>
      </c>
      <c r="J29" s="19">
        <f t="shared" ca="1" si="2"/>
        <v>423878.48905333306</v>
      </c>
      <c r="K29" s="101">
        <f t="shared" ca="1" si="3"/>
        <v>4717514.379275145</v>
      </c>
    </row>
    <row r="30" spans="2:11" ht="13.5" customHeight="1" x14ac:dyDescent="0.25">
      <c r="B30" s="36">
        <f>+Parametros!G27+Parametros!M27+Parametros!S27</f>
        <v>6</v>
      </c>
      <c r="C30" s="36">
        <f ca="1">+Parametros!H27+Parametros!N27+Parametros!T27</f>
        <v>3932600</v>
      </c>
      <c r="D30" s="22">
        <f ca="1">+Parametros!I27+Parametros!O27+Parametros!U27</f>
        <v>3971210.774297189</v>
      </c>
      <c r="E30" s="57"/>
      <c r="F30" s="100">
        <f t="shared" si="0"/>
        <v>23</v>
      </c>
      <c r="G30" s="19">
        <f t="shared" si="4"/>
        <v>0</v>
      </c>
      <c r="H30" s="19">
        <f t="shared" ca="1" si="1"/>
        <v>508892.3572099625</v>
      </c>
      <c r="I30" s="19">
        <f ca="1">IF(K29&gt;0,K29*Parametros!$B$4,0)</f>
        <v>78004.96008333395</v>
      </c>
      <c r="J30" s="19">
        <f t="shared" ca="1" si="2"/>
        <v>430887.39712662855</v>
      </c>
      <c r="K30" s="101">
        <f t="shared" ca="1" si="3"/>
        <v>4286626.982148516</v>
      </c>
    </row>
    <row r="31" spans="2:11" ht="13.5" customHeight="1" x14ac:dyDescent="0.25">
      <c r="B31" s="36">
        <f>+Parametros!G28+Parametros!M28+Parametros!S28</f>
        <v>7</v>
      </c>
      <c r="C31" s="36">
        <f ca="1">+Parametros!H28+Parametros!N28+Parametros!T28</f>
        <v>4168556</v>
      </c>
      <c r="D31" s="22">
        <f ca="1">+Parametros!I28+Parametros!O28+Parametros!U28</f>
        <v>4208114.3887550198</v>
      </c>
      <c r="E31" s="55"/>
      <c r="F31" s="100">
        <f t="shared" si="0"/>
        <v>24</v>
      </c>
      <c r="G31" s="19">
        <f t="shared" ca="1" si="4"/>
        <v>3971210.774297189</v>
      </c>
      <c r="H31" s="19">
        <f t="shared" ca="1" si="1"/>
        <v>508892.3572099625</v>
      </c>
      <c r="I31" s="19">
        <f ca="1">IF(K30&gt;0,K30*Parametros!$B$4,0)</f>
        <v>70880.158437591264</v>
      </c>
      <c r="J31" s="19">
        <f t="shared" ca="1" si="2"/>
        <v>438012.19877237122</v>
      </c>
      <c r="K31" s="101">
        <f t="shared" ca="1" si="3"/>
        <v>7819825.5576733332</v>
      </c>
    </row>
    <row r="32" spans="2:11" ht="13.5" customHeight="1" x14ac:dyDescent="0.25">
      <c r="B32" s="36">
        <f>+Parametros!G29+Parametros!M29+Parametros!S29</f>
        <v>8</v>
      </c>
      <c r="C32" s="36">
        <f ca="1">+Parametros!H29+Parametros!N29+Parametros!T29</f>
        <v>4168556</v>
      </c>
      <c r="D32" s="22">
        <f ca="1">+Parametros!I29+Parametros!O29+Parametros!U29</f>
        <v>4208114.3887550198</v>
      </c>
      <c r="F32" s="100">
        <f t="shared" si="0"/>
        <v>25</v>
      </c>
      <c r="G32" s="19">
        <f t="shared" si="4"/>
        <v>0</v>
      </c>
      <c r="H32" s="19">
        <f t="shared" ca="1" si="1"/>
        <v>508892.3572099625</v>
      </c>
      <c r="I32" s="19">
        <f ca="1">IF(K31&gt;0,K31*Parametros!$B$4,0)</f>
        <v>129302.24085054477</v>
      </c>
      <c r="J32" s="19">
        <f t="shared" ca="1" si="2"/>
        <v>379590.11635941773</v>
      </c>
      <c r="K32" s="101">
        <f t="shared" ca="1" si="3"/>
        <v>7440235.441313915</v>
      </c>
    </row>
    <row r="33" spans="1:11" ht="13.5" customHeight="1" x14ac:dyDescent="0.25">
      <c r="B33" s="36">
        <f>+Parametros!G30+Parametros!M30+Parametros!S30</f>
        <v>9</v>
      </c>
      <c r="C33" s="36">
        <f ca="1">+Parametros!H30+Parametros!N30+Parametros!T30</f>
        <v>4418669.3600000003</v>
      </c>
      <c r="D33" s="22">
        <f ca="1">+Parametros!I30+Parametros!O30+Parametros!U30</f>
        <v>4459232.2200803217</v>
      </c>
      <c r="E33" s="16"/>
      <c r="F33" s="100">
        <f t="shared" si="0"/>
        <v>26</v>
      </c>
      <c r="G33" s="19">
        <f t="shared" si="4"/>
        <v>0</v>
      </c>
      <c r="H33" s="19">
        <f t="shared" ca="1" si="1"/>
        <v>508892.3572099625</v>
      </c>
      <c r="I33" s="19">
        <f ca="1">IF(K32&gt;0,K32*Parametros!$B$4,0)</f>
        <v>123025.64909181565</v>
      </c>
      <c r="J33" s="19">
        <f t="shared" ca="1" si="2"/>
        <v>385866.70811814687</v>
      </c>
      <c r="K33" s="101">
        <f t="shared" ca="1" si="3"/>
        <v>7054368.7331957677</v>
      </c>
    </row>
    <row r="34" spans="1:11" ht="13.5" customHeight="1" x14ac:dyDescent="0.25">
      <c r="B34" s="36">
        <f>+Parametros!G31+Parametros!M31+Parametros!S31</f>
        <v>10</v>
      </c>
      <c r="C34" s="36">
        <f ca="1">+Parametros!H31+Parametros!N31+Parametros!T31</f>
        <v>4418669.3600000003</v>
      </c>
      <c r="D34" s="22">
        <f ca="1">+Parametros!I31+Parametros!O31+Parametros!U31</f>
        <v>4459232.2200803217</v>
      </c>
      <c r="E34" s="30"/>
      <c r="F34" s="100">
        <f t="shared" si="0"/>
        <v>27</v>
      </c>
      <c r="G34" s="19">
        <f t="shared" si="4"/>
        <v>0</v>
      </c>
      <c r="H34" s="19">
        <f t="shared" ca="1" si="1"/>
        <v>508892.3572099625</v>
      </c>
      <c r="I34" s="19">
        <f ca="1">IF(K33&gt;0,K33*Parametros!$B$4,0)</f>
        <v>116645.27274437388</v>
      </c>
      <c r="J34" s="19">
        <f t="shared" ca="1" si="2"/>
        <v>392247.08446558862</v>
      </c>
      <c r="K34" s="101">
        <f t="shared" ca="1" si="3"/>
        <v>6662121.6487301784</v>
      </c>
    </row>
    <row r="35" spans="1:11" ht="13.5" customHeight="1" x14ac:dyDescent="0.25">
      <c r="B35" s="36">
        <f>+Parametros!G32+Parametros!M32+Parametros!S32</f>
        <v>0</v>
      </c>
      <c r="C35" s="36">
        <f>+Parametros!H32+Parametros!N32+Parametros!T32</f>
        <v>0</v>
      </c>
      <c r="D35" s="22">
        <f>+Parametros!I32+Parametros!O32+Parametros!U32</f>
        <v>0</v>
      </c>
      <c r="E35" s="31"/>
      <c r="F35" s="100">
        <f t="shared" si="0"/>
        <v>28</v>
      </c>
      <c r="G35" s="19">
        <f t="shared" si="4"/>
        <v>0</v>
      </c>
      <c r="H35" s="19">
        <f t="shared" ca="1" si="1"/>
        <v>508892.3572099625</v>
      </c>
      <c r="I35" s="19">
        <f ca="1">IF(K34&gt;0,K34*Parametros!$B$4,0)</f>
        <v>110159.39571112915</v>
      </c>
      <c r="J35" s="19">
        <f t="shared" ca="1" si="2"/>
        <v>398732.96149883338</v>
      </c>
      <c r="K35" s="101">
        <f t="shared" ca="1" si="3"/>
        <v>6263388.6872313451</v>
      </c>
    </row>
    <row r="36" spans="1:11" ht="13.5" customHeight="1" x14ac:dyDescent="0.25">
      <c r="B36" s="36">
        <f>+Parametros!G33+Parametros!M33+Parametros!S33</f>
        <v>0</v>
      </c>
      <c r="C36" s="36">
        <f>+Parametros!H33+Parametros!N33+Parametros!T33</f>
        <v>0</v>
      </c>
      <c r="D36" s="22">
        <f>+Parametros!I33+Parametros!O33+Parametros!U33</f>
        <v>0</v>
      </c>
      <c r="F36" s="100">
        <f t="shared" si="0"/>
        <v>29</v>
      </c>
      <c r="G36" s="19">
        <f t="shared" si="4"/>
        <v>0</v>
      </c>
      <c r="H36" s="19">
        <f t="shared" ca="1" si="1"/>
        <v>508892.3572099625</v>
      </c>
      <c r="I36" s="19">
        <f ca="1">IF(K35&gt;0,K35*Parametros!$B$4,0)</f>
        <v>103566.273519013</v>
      </c>
      <c r="J36" s="19">
        <f t="shared" ca="1" si="2"/>
        <v>405326.08369094948</v>
      </c>
      <c r="K36" s="101">
        <f t="shared" ca="1" si="3"/>
        <v>5858062.6035403954</v>
      </c>
    </row>
    <row r="37" spans="1:11" ht="13.5" customHeight="1" x14ac:dyDescent="0.25">
      <c r="B37" s="36">
        <f>+Parametros!G34+Parametros!M34+Parametros!S34</f>
        <v>0</v>
      </c>
      <c r="C37" s="36">
        <f>+Parametros!H34+Parametros!N34+Parametros!T34</f>
        <v>0</v>
      </c>
      <c r="D37" s="22">
        <f>+Parametros!I34+Parametros!O34+Parametros!U34</f>
        <v>0</v>
      </c>
      <c r="F37" s="100">
        <f t="shared" si="0"/>
        <v>30</v>
      </c>
      <c r="G37" s="19">
        <f t="shared" ca="1" si="4"/>
        <v>3971210.774297189</v>
      </c>
      <c r="H37" s="19">
        <f t="shared" ca="1" si="1"/>
        <v>508892.3572099625</v>
      </c>
      <c r="I37" s="19">
        <f ca="1">IF(K36&gt;0,K36*Parametros!$B$4,0)</f>
        <v>96864.132849776783</v>
      </c>
      <c r="J37" s="19">
        <f t="shared" ca="1" si="2"/>
        <v>412028.22436018573</v>
      </c>
      <c r="K37" s="101">
        <f t="shared" ca="1" si="3"/>
        <v>9417245.1534773987</v>
      </c>
    </row>
    <row r="38" spans="1:11" ht="13.5" customHeight="1" x14ac:dyDescent="0.25">
      <c r="B38" s="36">
        <f>+Parametros!G35+Parametros!M35+Parametros!S35</f>
        <v>0</v>
      </c>
      <c r="C38" s="36">
        <f>+Parametros!H35+Parametros!N35+Parametros!T35</f>
        <v>0</v>
      </c>
      <c r="D38" s="22">
        <f>+Parametros!I35+Parametros!O35+Parametros!U35</f>
        <v>0</v>
      </c>
      <c r="F38" s="100">
        <f t="shared" si="0"/>
        <v>31</v>
      </c>
      <c r="G38" s="19">
        <f t="shared" si="4"/>
        <v>0</v>
      </c>
      <c r="H38" s="19">
        <f t="shared" ca="1" si="1"/>
        <v>508892.3572099625</v>
      </c>
      <c r="I38" s="19">
        <f ca="1">IF(K37&gt;0,K37*Parametros!$B$4,0)</f>
        <v>155715.86501551818</v>
      </c>
      <c r="J38" s="19">
        <f t="shared" ca="1" si="2"/>
        <v>353176.49219444429</v>
      </c>
      <c r="K38" s="101">
        <f t="shared" ca="1" si="3"/>
        <v>9064068.6612829547</v>
      </c>
    </row>
    <row r="39" spans="1:11" ht="13.5" customHeight="1" x14ac:dyDescent="0.25">
      <c r="B39" s="37">
        <f>+Parametros!G36+Parametros!M36+Parametros!S36</f>
        <v>0</v>
      </c>
      <c r="C39" s="36">
        <f>+Parametros!H36+Parametros!N36+Parametros!T36</f>
        <v>0</v>
      </c>
      <c r="D39" s="22">
        <f>+Parametros!I36+Parametros!O36+Parametros!U36</f>
        <v>0</v>
      </c>
      <c r="F39" s="100">
        <f t="shared" si="0"/>
        <v>32</v>
      </c>
      <c r="G39" s="19">
        <f t="shared" si="4"/>
        <v>0</v>
      </c>
      <c r="H39" s="19">
        <f t="shared" ca="1" si="1"/>
        <v>508892.3572099625</v>
      </c>
      <c r="I39" s="19">
        <f ca="1">IF(K38&gt;0,K38*Parametros!$B$4,0)</f>
        <v>149876.02734654801</v>
      </c>
      <c r="J39" s="19">
        <f t="shared" ca="1" si="2"/>
        <v>359016.32986341452</v>
      </c>
      <c r="K39" s="101">
        <f t="shared" ca="1" si="3"/>
        <v>8705052.3314195406</v>
      </c>
    </row>
    <row r="40" spans="1:11" ht="13.5" customHeight="1" x14ac:dyDescent="0.25">
      <c r="B40" s="82" t="s">
        <v>43</v>
      </c>
      <c r="C40" s="83">
        <f ca="1">+Parametros!H37+Parametros!N37+Parametros!T37</f>
        <v>39459650.719999999</v>
      </c>
      <c r="D40" s="83">
        <f ca="1">SUM(D25:D39)</f>
        <v>39846295.212851405</v>
      </c>
      <c r="F40" s="100">
        <f t="shared" ref="F40:F71" si="5">IFERROR(IF(F39+1&lt;=$D$17,F39+1,""),"")</f>
        <v>33</v>
      </c>
      <c r="G40" s="19">
        <f t="shared" ref="G40:G67" si="6">IFERROR(IF($D$7="semestral",VLOOKUP((F40/6)+1,$B$25:$D$39,3,0),IF($D$7="anual",VLOOKUP((F40/12)+1,$B$25:$D$39,3,0),IF($D$7="cuatrimestral",VLOOKUP((F40/4)+1,$B$25:$D$39,3,0),0))),0)</f>
        <v>0</v>
      </c>
      <c r="H40" s="19">
        <f t="shared" ref="H40:H71" ca="1" si="7">IF(F40&lt;$D$17,$D$15,IF(F40=$D$17,K39+I40,0))</f>
        <v>508892.3572099625</v>
      </c>
      <c r="I40" s="19">
        <f ca="1">IF(K39&gt;0,K39*Parametros!$B$4,0)</f>
        <v>143939.62689734285</v>
      </c>
      <c r="J40" s="19">
        <f t="shared" ref="J40:J71" ca="1" si="8">+H40-I40</f>
        <v>364952.73031261965</v>
      </c>
      <c r="K40" s="101">
        <f t="shared" ref="K40:K71" ca="1" si="9">+K39+I40-H40+G40</f>
        <v>8340099.6011069203</v>
      </c>
    </row>
    <row r="41" spans="1:11" ht="13.5" customHeight="1" x14ac:dyDescent="0.2">
      <c r="F41" s="100">
        <f t="shared" si="5"/>
        <v>34</v>
      </c>
      <c r="G41" s="19">
        <f t="shared" si="6"/>
        <v>0</v>
      </c>
      <c r="H41" s="19">
        <f t="shared" ca="1" si="7"/>
        <v>508892.3572099625</v>
      </c>
      <c r="I41" s="19">
        <f ca="1">IF(K40&gt;0,K40*Parametros!$B$4,0)</f>
        <v>137905.06698473188</v>
      </c>
      <c r="J41" s="19">
        <f t="shared" ca="1" si="8"/>
        <v>370987.29022523062</v>
      </c>
      <c r="K41" s="101">
        <f t="shared" ca="1" si="9"/>
        <v>7969112.3108816901</v>
      </c>
    </row>
    <row r="42" spans="1:11" ht="13.5" customHeight="1" x14ac:dyDescent="0.2">
      <c r="A42" s="117" t="s">
        <v>58</v>
      </c>
      <c r="B42" s="117"/>
      <c r="C42" s="117"/>
      <c r="D42" s="117"/>
      <c r="E42" s="118"/>
      <c r="F42" s="100">
        <f t="shared" si="5"/>
        <v>35</v>
      </c>
      <c r="G42" s="19">
        <f t="shared" si="6"/>
        <v>0</v>
      </c>
      <c r="H42" s="19">
        <f t="shared" ca="1" si="7"/>
        <v>508892.3572099625</v>
      </c>
      <c r="I42" s="19">
        <f ca="1">IF(K41&gt;0,K41*Parametros!$B$4,0)</f>
        <v>131770.72452409696</v>
      </c>
      <c r="J42" s="19">
        <f t="shared" ca="1" si="8"/>
        <v>377121.63268586551</v>
      </c>
      <c r="K42" s="101">
        <f t="shared" ca="1" si="9"/>
        <v>7591990.6781958239</v>
      </c>
    </row>
    <row r="43" spans="1:11" ht="13.5" customHeight="1" x14ac:dyDescent="0.2">
      <c r="A43" s="117"/>
      <c r="B43" s="117"/>
      <c r="C43" s="117"/>
      <c r="D43" s="117"/>
      <c r="E43" s="118"/>
      <c r="F43" s="100">
        <f t="shared" si="5"/>
        <v>36</v>
      </c>
      <c r="G43" s="19">
        <f t="shared" ca="1" si="6"/>
        <v>4208114.3887550198</v>
      </c>
      <c r="H43" s="19">
        <f t="shared" ca="1" si="7"/>
        <v>508892.3572099625</v>
      </c>
      <c r="I43" s="19">
        <f ca="1">IF(K42&gt;0,K42*Parametros!$B$4,0)</f>
        <v>125534.94959281996</v>
      </c>
      <c r="J43" s="19">
        <f t="shared" ca="1" si="8"/>
        <v>383357.40761714254</v>
      </c>
      <c r="K43" s="101">
        <f t="shared" ca="1" si="9"/>
        <v>11416747.659333702</v>
      </c>
    </row>
    <row r="44" spans="1:11" ht="13.5" customHeight="1" x14ac:dyDescent="0.2">
      <c r="A44" s="117"/>
      <c r="B44" s="117"/>
      <c r="C44" s="117"/>
      <c r="D44" s="117"/>
      <c r="E44" s="118"/>
      <c r="F44" s="100">
        <f t="shared" si="5"/>
        <v>37</v>
      </c>
      <c r="G44" s="19">
        <f t="shared" si="6"/>
        <v>0</v>
      </c>
      <c r="H44" s="19">
        <f t="shared" ca="1" si="7"/>
        <v>508892.3572099625</v>
      </c>
      <c r="I44" s="19">
        <f ca="1">IF(K43&gt;0,K43*Parametros!$B$4,0)</f>
        <v>188778.00338250553</v>
      </c>
      <c r="J44" s="19">
        <f t="shared" ca="1" si="8"/>
        <v>320114.35382745694</v>
      </c>
      <c r="K44" s="101">
        <f t="shared" ca="1" si="9"/>
        <v>11096633.305506246</v>
      </c>
    </row>
    <row r="45" spans="1:11" ht="13.5" customHeight="1" x14ac:dyDescent="0.2">
      <c r="A45" s="117"/>
      <c r="B45" s="117"/>
      <c r="C45" s="117"/>
      <c r="D45" s="117"/>
      <c r="E45" s="118"/>
      <c r="F45" s="100">
        <f t="shared" si="5"/>
        <v>38</v>
      </c>
      <c r="G45" s="19">
        <f t="shared" si="6"/>
        <v>0</v>
      </c>
      <c r="H45" s="19">
        <f t="shared" ca="1" si="7"/>
        <v>508892.3572099625</v>
      </c>
      <c r="I45" s="19">
        <f ca="1">IF(K44&gt;0,K44*Parametros!$B$4,0)</f>
        <v>183484.85419739381</v>
      </c>
      <c r="J45" s="19">
        <f t="shared" ca="1" si="8"/>
        <v>325407.50301256869</v>
      </c>
      <c r="K45" s="101">
        <f t="shared" ca="1" si="9"/>
        <v>10771225.802493678</v>
      </c>
    </row>
    <row r="46" spans="1:11" ht="13.5" customHeight="1" x14ac:dyDescent="0.2">
      <c r="A46" s="117"/>
      <c r="B46" s="117"/>
      <c r="C46" s="117"/>
      <c r="D46" s="117"/>
      <c r="E46" s="118"/>
      <c r="F46" s="100">
        <f t="shared" si="5"/>
        <v>39</v>
      </c>
      <c r="G46" s="19">
        <f t="shared" si="6"/>
        <v>0</v>
      </c>
      <c r="H46" s="19">
        <f t="shared" ca="1" si="7"/>
        <v>508892.3572099625</v>
      </c>
      <c r="I46" s="19">
        <f ca="1">IF(K45&gt;0,K45*Parametros!$B$4,0)</f>
        <v>178104.18182576812</v>
      </c>
      <c r="J46" s="19">
        <f t="shared" ca="1" si="8"/>
        <v>330788.17538419436</v>
      </c>
      <c r="K46" s="101">
        <f t="shared" ca="1" si="9"/>
        <v>10440437.627109485</v>
      </c>
    </row>
    <row r="47" spans="1:11" ht="13.5" customHeight="1" x14ac:dyDescent="0.2">
      <c r="A47" s="117"/>
      <c r="B47" s="117"/>
      <c r="C47" s="117"/>
      <c r="D47" s="117"/>
      <c r="E47" s="118"/>
      <c r="F47" s="100">
        <f t="shared" si="5"/>
        <v>40</v>
      </c>
      <c r="G47" s="19">
        <f t="shared" si="6"/>
        <v>0</v>
      </c>
      <c r="H47" s="19">
        <f t="shared" ca="1" si="7"/>
        <v>508892.3572099625</v>
      </c>
      <c r="I47" s="19">
        <f ca="1">IF(K46&gt;0,K46*Parametros!$B$4,0)</f>
        <v>172634.53905578729</v>
      </c>
      <c r="J47" s="19">
        <f t="shared" ca="1" si="8"/>
        <v>336257.81815417518</v>
      </c>
      <c r="K47" s="101">
        <f t="shared" ca="1" si="9"/>
        <v>10104179.80895531</v>
      </c>
    </row>
    <row r="48" spans="1:11" ht="13.5" customHeight="1" x14ac:dyDescent="0.2">
      <c r="A48" s="117"/>
      <c r="B48" s="117"/>
      <c r="C48" s="117"/>
      <c r="D48" s="117"/>
      <c r="E48" s="118"/>
      <c r="F48" s="100">
        <f t="shared" si="5"/>
        <v>41</v>
      </c>
      <c r="G48" s="19">
        <f t="shared" si="6"/>
        <v>0</v>
      </c>
      <c r="H48" s="19">
        <f t="shared" ca="1" si="7"/>
        <v>508892.3572099625</v>
      </c>
      <c r="I48" s="19">
        <f ca="1">IF(K47&gt;0,K47*Parametros!$B$4,0)</f>
        <v>167074.45474569863</v>
      </c>
      <c r="J48" s="19">
        <f t="shared" ca="1" si="8"/>
        <v>341817.90246426384</v>
      </c>
      <c r="K48" s="101">
        <f t="shared" ca="1" si="9"/>
        <v>9762361.9064910468</v>
      </c>
    </row>
    <row r="49" spans="1:11" ht="13.5" customHeight="1" x14ac:dyDescent="0.2">
      <c r="A49" s="117"/>
      <c r="B49" s="117"/>
      <c r="C49" s="117"/>
      <c r="D49" s="117"/>
      <c r="E49" s="118"/>
      <c r="F49" s="100">
        <f t="shared" si="5"/>
        <v>42</v>
      </c>
      <c r="G49" s="19">
        <f t="shared" ca="1" si="6"/>
        <v>4208114.3887550198</v>
      </c>
      <c r="H49" s="19">
        <f t="shared" ca="1" si="7"/>
        <v>508892.3572099625</v>
      </c>
      <c r="I49" s="19">
        <f ca="1">IF(K48&gt;0,K48*Parametros!$B$4,0)</f>
        <v>161422.43342815244</v>
      </c>
      <c r="J49" s="19">
        <f t="shared" ca="1" si="8"/>
        <v>347469.9237818101</v>
      </c>
      <c r="K49" s="101">
        <f t="shared" ca="1" si="9"/>
        <v>13623006.371464256</v>
      </c>
    </row>
    <row r="50" spans="1:11" ht="13.5" customHeight="1" x14ac:dyDescent="0.2">
      <c r="F50" s="100">
        <f t="shared" si="5"/>
        <v>43</v>
      </c>
      <c r="G50" s="19">
        <f t="shared" si="6"/>
        <v>0</v>
      </c>
      <c r="H50" s="19">
        <f t="shared" ca="1" si="7"/>
        <v>508892.3572099625</v>
      </c>
      <c r="I50" s="19">
        <f ca="1">IF(K49&gt;0,K49*Parametros!$B$4,0)</f>
        <v>225258.89330396772</v>
      </c>
      <c r="J50" s="19">
        <f t="shared" ca="1" si="8"/>
        <v>283633.46390599478</v>
      </c>
      <c r="K50" s="101">
        <f t="shared" ca="1" si="9"/>
        <v>13339372.907558262</v>
      </c>
    </row>
    <row r="51" spans="1:11" ht="13.5" customHeight="1" x14ac:dyDescent="0.2">
      <c r="F51" s="100">
        <f t="shared" si="5"/>
        <v>44</v>
      </c>
      <c r="G51" s="19">
        <f t="shared" si="6"/>
        <v>0</v>
      </c>
      <c r="H51" s="19">
        <f t="shared" ca="1" si="7"/>
        <v>508892.3572099625</v>
      </c>
      <c r="I51" s="19">
        <f ca="1">IF(K50&gt;0,K50*Parametros!$B$4,0)</f>
        <v>220568.96228277509</v>
      </c>
      <c r="J51" s="19">
        <f t="shared" ca="1" si="8"/>
        <v>288323.39492718742</v>
      </c>
      <c r="K51" s="101">
        <f t="shared" ca="1" si="9"/>
        <v>13051049.512631075</v>
      </c>
    </row>
    <row r="52" spans="1:11" ht="13.5" customHeight="1" x14ac:dyDescent="0.2">
      <c r="F52" s="100">
        <f t="shared" si="5"/>
        <v>45</v>
      </c>
      <c r="G52" s="19">
        <f t="shared" si="6"/>
        <v>0</v>
      </c>
      <c r="H52" s="19">
        <f t="shared" ca="1" si="7"/>
        <v>508892.3572099625</v>
      </c>
      <c r="I52" s="19">
        <f ca="1">IF(K51&gt;0,K51*Parametros!$B$4,0)</f>
        <v>215801.4823973524</v>
      </c>
      <c r="J52" s="19">
        <f t="shared" ca="1" si="8"/>
        <v>293090.8748126101</v>
      </c>
      <c r="K52" s="101">
        <f t="shared" ca="1" si="9"/>
        <v>12757958.637818467</v>
      </c>
    </row>
    <row r="53" spans="1:11" ht="13.5" customHeight="1" x14ac:dyDescent="0.2">
      <c r="F53" s="100">
        <f t="shared" si="5"/>
        <v>46</v>
      </c>
      <c r="G53" s="19">
        <f t="shared" si="6"/>
        <v>0</v>
      </c>
      <c r="H53" s="19">
        <f t="shared" ca="1" si="7"/>
        <v>508892.3572099625</v>
      </c>
      <c r="I53" s="19">
        <f ca="1">IF(K52&gt;0,K52*Parametros!$B$4,0)</f>
        <v>210955.17136309546</v>
      </c>
      <c r="J53" s="19">
        <f t="shared" ca="1" si="8"/>
        <v>297937.18584686704</v>
      </c>
      <c r="K53" s="101">
        <f t="shared" ca="1" si="9"/>
        <v>12460021.4519716</v>
      </c>
    </row>
    <row r="54" spans="1:11" ht="13.5" customHeight="1" x14ac:dyDescent="0.2">
      <c r="F54" s="100">
        <f t="shared" si="5"/>
        <v>47</v>
      </c>
      <c r="G54" s="19">
        <f t="shared" si="6"/>
        <v>0</v>
      </c>
      <c r="H54" s="19">
        <f t="shared" ca="1" si="7"/>
        <v>508892.3572099625</v>
      </c>
      <c r="I54" s="19">
        <f ca="1">IF(K53&gt;0,K53*Parametros!$B$4,0)</f>
        <v>206028.72569259032</v>
      </c>
      <c r="J54" s="19">
        <f t="shared" ca="1" si="8"/>
        <v>302863.63151737221</v>
      </c>
      <c r="K54" s="101">
        <f t="shared" ca="1" si="9"/>
        <v>12157157.820454229</v>
      </c>
    </row>
    <row r="55" spans="1:11" ht="13.5" customHeight="1" x14ac:dyDescent="0.2">
      <c r="F55" s="100">
        <f t="shared" si="5"/>
        <v>48</v>
      </c>
      <c r="G55" s="19">
        <f t="shared" ca="1" si="6"/>
        <v>4459232.2200803217</v>
      </c>
      <c r="H55" s="19">
        <f t="shared" ca="1" si="7"/>
        <v>508892.3572099625</v>
      </c>
      <c r="I55" s="19">
        <f ca="1">IF(K54&gt;0,K54*Parametros!$B$4,0)</f>
        <v>201020.82034502123</v>
      </c>
      <c r="J55" s="19">
        <f t="shared" ca="1" si="8"/>
        <v>307871.53686494124</v>
      </c>
      <c r="K55" s="101">
        <f t="shared" ca="1" si="9"/>
        <v>16308518.50366961</v>
      </c>
    </row>
    <row r="56" spans="1:11" ht="13.5" customHeight="1" x14ac:dyDescent="0.2">
      <c r="F56" s="100">
        <f t="shared" si="5"/>
        <v>49</v>
      </c>
      <c r="G56" s="19">
        <f t="shared" si="6"/>
        <v>0</v>
      </c>
      <c r="H56" s="19">
        <f t="shared" ca="1" si="7"/>
        <v>508892.3572099625</v>
      </c>
      <c r="I56" s="19">
        <f ca="1">IF(K55&gt;0,K55*Parametros!$B$4,0)</f>
        <v>269664.32587589242</v>
      </c>
      <c r="J56" s="19">
        <f t="shared" ca="1" si="8"/>
        <v>239228.03133407008</v>
      </c>
      <c r="K56" s="101">
        <f t="shared" ca="1" si="9"/>
        <v>16069290.472335542</v>
      </c>
    </row>
    <row r="57" spans="1:11" ht="13.5" customHeight="1" x14ac:dyDescent="0.2">
      <c r="F57" s="100">
        <f t="shared" si="5"/>
        <v>50</v>
      </c>
      <c r="G57" s="19">
        <f t="shared" si="6"/>
        <v>0</v>
      </c>
      <c r="H57" s="19">
        <f t="shared" ca="1" si="7"/>
        <v>508892.3572099625</v>
      </c>
      <c r="I57" s="19">
        <f ca="1">IF(K56&gt;0,K56*Parametros!$B$4,0)</f>
        <v>265708.64677568461</v>
      </c>
      <c r="J57" s="19">
        <f t="shared" ca="1" si="8"/>
        <v>243183.71043427789</v>
      </c>
      <c r="K57" s="101">
        <f t="shared" ca="1" si="9"/>
        <v>15826106.761901265</v>
      </c>
    </row>
    <row r="58" spans="1:11" ht="13.5" customHeight="1" x14ac:dyDescent="0.2">
      <c r="F58" s="100">
        <f t="shared" si="5"/>
        <v>51</v>
      </c>
      <c r="G58" s="19">
        <f t="shared" si="6"/>
        <v>0</v>
      </c>
      <c r="H58" s="19">
        <f t="shared" ca="1" si="7"/>
        <v>508892.3572099625</v>
      </c>
      <c r="I58" s="19">
        <f ca="1">IF(K57&gt;0,K57*Parametros!$B$4,0)</f>
        <v>261687.55980058617</v>
      </c>
      <c r="J58" s="19">
        <f t="shared" ca="1" si="8"/>
        <v>247204.79740937633</v>
      </c>
      <c r="K58" s="101">
        <f t="shared" ca="1" si="9"/>
        <v>15578901.964491889</v>
      </c>
    </row>
    <row r="59" spans="1:11" ht="13.5" customHeight="1" x14ac:dyDescent="0.2">
      <c r="F59" s="100">
        <f t="shared" si="5"/>
        <v>52</v>
      </c>
      <c r="G59" s="19">
        <f t="shared" si="6"/>
        <v>0</v>
      </c>
      <c r="H59" s="19">
        <f t="shared" ca="1" si="7"/>
        <v>508892.3572099625</v>
      </c>
      <c r="I59" s="19">
        <f ca="1">IF(K58&gt;0,K58*Parametros!$B$4,0)</f>
        <v>257599.98341946449</v>
      </c>
      <c r="J59" s="19">
        <f t="shared" ca="1" si="8"/>
        <v>251292.37379049801</v>
      </c>
      <c r="K59" s="101">
        <f t="shared" ca="1" si="9"/>
        <v>15327609.590701392</v>
      </c>
    </row>
    <row r="60" spans="1:11" ht="13.5" customHeight="1" x14ac:dyDescent="0.2">
      <c r="F60" s="100">
        <f t="shared" si="5"/>
        <v>53</v>
      </c>
      <c r="G60" s="19">
        <f t="shared" si="6"/>
        <v>0</v>
      </c>
      <c r="H60" s="19">
        <f t="shared" ca="1" si="7"/>
        <v>508892.3572099625</v>
      </c>
      <c r="I60" s="19">
        <f ca="1">IF(K59&gt;0,K59*Parametros!$B$4,0)</f>
        <v>253444.8182178725</v>
      </c>
      <c r="J60" s="19">
        <f t="shared" ca="1" si="8"/>
        <v>255447.53899209001</v>
      </c>
      <c r="K60" s="101">
        <f t="shared" ca="1" si="9"/>
        <v>15072162.051709302</v>
      </c>
    </row>
    <row r="61" spans="1:11" ht="13.5" customHeight="1" x14ac:dyDescent="0.2">
      <c r="F61" s="100">
        <f t="shared" si="5"/>
        <v>54</v>
      </c>
      <c r="G61" s="19">
        <f t="shared" ca="1" si="6"/>
        <v>4459232.2200803217</v>
      </c>
      <c r="H61" s="19">
        <f t="shared" ca="1" si="7"/>
        <v>508892.3572099625</v>
      </c>
      <c r="I61" s="19">
        <f ca="1">IF(K60&gt;0,K60*Parametros!$B$4,0)</f>
        <v>249220.94660234483</v>
      </c>
      <c r="J61" s="19">
        <f t="shared" ca="1" si="8"/>
        <v>259671.41060761767</v>
      </c>
      <c r="K61" s="101">
        <f t="shared" ca="1" si="9"/>
        <v>19271722.861182004</v>
      </c>
    </row>
    <row r="62" spans="1:11" ht="13.5" customHeight="1" x14ac:dyDescent="0.2">
      <c r="F62" s="100">
        <f t="shared" si="5"/>
        <v>55</v>
      </c>
      <c r="G62" s="19">
        <f t="shared" si="6"/>
        <v>0</v>
      </c>
      <c r="H62" s="19">
        <f t="shared" ca="1" si="7"/>
        <v>508892.3572099625</v>
      </c>
      <c r="I62" s="19">
        <f ca="1">IF(K61&gt;0,K61*Parametros!$B$4,0)</f>
        <v>318661.45000591601</v>
      </c>
      <c r="J62" s="19">
        <f t="shared" ca="1" si="8"/>
        <v>190230.9072040465</v>
      </c>
      <c r="K62" s="101">
        <f t="shared" ca="1" si="9"/>
        <v>19081491.953977957</v>
      </c>
    </row>
    <row r="63" spans="1:11" ht="13.5" customHeight="1" x14ac:dyDescent="0.2">
      <c r="F63" s="100">
        <f t="shared" si="5"/>
        <v>56</v>
      </c>
      <c r="G63" s="19">
        <f t="shared" si="6"/>
        <v>0</v>
      </c>
      <c r="H63" s="19">
        <f t="shared" ca="1" si="7"/>
        <v>508892.3572099625</v>
      </c>
      <c r="I63" s="19">
        <f ca="1">IF(K62&gt;0,K62*Parametros!$B$4,0)</f>
        <v>315515.94728349545</v>
      </c>
      <c r="J63" s="19">
        <f t="shared" ca="1" si="8"/>
        <v>193376.40992646705</v>
      </c>
      <c r="K63" s="101">
        <f t="shared" ca="1" si="9"/>
        <v>18888115.544051491</v>
      </c>
    </row>
    <row r="64" spans="1:11" ht="13.5" customHeight="1" x14ac:dyDescent="0.2">
      <c r="F64" s="100">
        <f t="shared" si="5"/>
        <v>57</v>
      </c>
      <c r="G64" s="19">
        <f t="shared" si="6"/>
        <v>0</v>
      </c>
      <c r="H64" s="19">
        <f t="shared" ca="1" si="7"/>
        <v>508892.3572099625</v>
      </c>
      <c r="I64" s="19">
        <f ca="1">IF(K63&gt;0,K63*Parametros!$B$4,0)</f>
        <v>312318.43310025515</v>
      </c>
      <c r="J64" s="19">
        <f t="shared" ca="1" si="8"/>
        <v>196573.92410970735</v>
      </c>
      <c r="K64" s="101">
        <f t="shared" ca="1" si="9"/>
        <v>18691541.619941782</v>
      </c>
    </row>
    <row r="65" spans="1:11" ht="13.5" customHeight="1" x14ac:dyDescent="0.2">
      <c r="F65" s="100">
        <f t="shared" si="5"/>
        <v>58</v>
      </c>
      <c r="G65" s="19">
        <f t="shared" si="6"/>
        <v>0</v>
      </c>
      <c r="H65" s="19">
        <f t="shared" ca="1" si="7"/>
        <v>508892.3572099625</v>
      </c>
      <c r="I65" s="19">
        <f ca="1">IF(K64&gt;0,K64*Parametros!$B$4,0)</f>
        <v>309068.04743721068</v>
      </c>
      <c r="J65" s="19">
        <f t="shared" ca="1" si="8"/>
        <v>199824.30977275182</v>
      </c>
      <c r="K65" s="101">
        <f t="shared" ca="1" si="9"/>
        <v>18491717.31016903</v>
      </c>
    </row>
    <row r="66" spans="1:11" ht="13.5" customHeight="1" x14ac:dyDescent="0.2">
      <c r="F66" s="100">
        <f t="shared" si="5"/>
        <v>59</v>
      </c>
      <c r="G66" s="19">
        <f t="shared" si="6"/>
        <v>0</v>
      </c>
      <c r="H66" s="19">
        <f t="shared" ca="1" si="7"/>
        <v>508892.3572099625</v>
      </c>
      <c r="I66" s="19">
        <f ca="1">IF(K65&gt;0,K65*Parametros!$B$4,0)</f>
        <v>305763.91605480702</v>
      </c>
      <c r="J66" s="19">
        <f t="shared" ca="1" si="8"/>
        <v>203128.44115515548</v>
      </c>
      <c r="K66" s="101">
        <f t="shared" ca="1" si="9"/>
        <v>18288588.869013876</v>
      </c>
    </row>
    <row r="67" spans="1:11" ht="13.5" customHeight="1" x14ac:dyDescent="0.2">
      <c r="F67" s="100">
        <f t="shared" si="5"/>
        <v>60</v>
      </c>
      <c r="G67" s="19">
        <f t="shared" si="6"/>
        <v>0</v>
      </c>
      <c r="H67" s="19">
        <f t="shared" ca="1" si="7"/>
        <v>508892.3572099625</v>
      </c>
      <c r="I67" s="19">
        <f ca="1">IF(K66&gt;0,K66*Parametros!$B$4,0)</f>
        <v>302405.15025777894</v>
      </c>
      <c r="J67" s="19">
        <f t="shared" ca="1" si="8"/>
        <v>206487.20695218357</v>
      </c>
      <c r="K67" s="101">
        <f t="shared" ca="1" si="9"/>
        <v>18082101.662061691</v>
      </c>
    </row>
    <row r="68" spans="1:11" ht="13.5" customHeight="1" x14ac:dyDescent="0.2">
      <c r="F68" s="100">
        <f t="shared" si="5"/>
        <v>61</v>
      </c>
      <c r="G68" s="19"/>
      <c r="H68" s="19">
        <f t="shared" ca="1" si="7"/>
        <v>508892.3572099625</v>
      </c>
      <c r="I68" s="19">
        <f ca="1">IF(K67&gt;0,K67*Parametros!$B$4,0)</f>
        <v>298990.84665612271</v>
      </c>
      <c r="J68" s="19">
        <f t="shared" ca="1" si="8"/>
        <v>209901.51055383979</v>
      </c>
      <c r="K68" s="101">
        <f t="shared" ca="1" si="9"/>
        <v>17872200.151507851</v>
      </c>
    </row>
    <row r="69" spans="1:11" ht="13.5" customHeight="1" x14ac:dyDescent="0.2">
      <c r="F69" s="100">
        <f t="shared" si="5"/>
        <v>62</v>
      </c>
      <c r="G69" s="19"/>
      <c r="H69" s="19">
        <f t="shared" ca="1" si="7"/>
        <v>508892.3572099625</v>
      </c>
      <c r="I69" s="19">
        <f ca="1">IF(K68&gt;0,K68*Parametros!$B$4,0)</f>
        <v>295520.0869221164</v>
      </c>
      <c r="J69" s="19">
        <f t="shared" ca="1" si="8"/>
        <v>213372.2702878461</v>
      </c>
      <c r="K69" s="101">
        <f t="shared" ca="1" si="9"/>
        <v>17658827.881220005</v>
      </c>
    </row>
    <row r="70" spans="1:11" ht="13.5" customHeight="1" x14ac:dyDescent="0.2">
      <c r="F70" s="100">
        <f t="shared" si="5"/>
        <v>63</v>
      </c>
      <c r="G70" s="19"/>
      <c r="H70" s="19">
        <f t="shared" ca="1" si="7"/>
        <v>508892.3572099625</v>
      </c>
      <c r="I70" s="19">
        <f ca="1">IF(K69&gt;0,K69*Parametros!$B$4,0)</f>
        <v>291991.93754332192</v>
      </c>
      <c r="J70" s="19">
        <f t="shared" ca="1" si="8"/>
        <v>216900.41966664058</v>
      </c>
      <c r="K70" s="101">
        <f t="shared" ca="1" si="9"/>
        <v>17441927.461553365</v>
      </c>
    </row>
    <row r="71" spans="1:11" ht="13.5" customHeight="1" x14ac:dyDescent="0.2">
      <c r="F71" s="100">
        <f t="shared" si="5"/>
        <v>64</v>
      </c>
      <c r="G71" s="19"/>
      <c r="H71" s="19">
        <f t="shared" ca="1" si="7"/>
        <v>508892.3572099625</v>
      </c>
      <c r="I71" s="19">
        <f ca="1">IF(K70&gt;0,K70*Parametros!$B$4,0)</f>
        <v>288405.44957150263</v>
      </c>
      <c r="J71" s="19">
        <f t="shared" ca="1" si="8"/>
        <v>220486.90763845987</v>
      </c>
      <c r="K71" s="101">
        <f t="shared" ca="1" si="9"/>
        <v>17221440.553914905</v>
      </c>
    </row>
    <row r="72" spans="1:11" ht="13.5" customHeight="1" x14ac:dyDescent="0.2">
      <c r="F72" s="100">
        <f t="shared" ref="F72:F103" si="10">IFERROR(IF(F71+1&lt;=$D$17,F71+1,""),"")</f>
        <v>65</v>
      </c>
      <c r="G72" s="19"/>
      <c r="H72" s="19">
        <f t="shared" ref="H72:H90" ca="1" si="11">IF(F72&lt;$D$17,$D$15,IF(F72=$D$17,K71+I72,0))</f>
        <v>508892.3572099625</v>
      </c>
      <c r="I72" s="19">
        <f ca="1">IF(K71&gt;0,K71*Parametros!$B$4,0)</f>
        <v>284759.6583673901</v>
      </c>
      <c r="J72" s="19">
        <f t="shared" ref="J72:J90" ca="1" si="12">+H72-I72</f>
        <v>224132.6988425724</v>
      </c>
      <c r="K72" s="101">
        <f t="shared" ref="K72:K90" ca="1" si="13">+K71+I72-H72+G72</f>
        <v>16997307.855072334</v>
      </c>
    </row>
    <row r="73" spans="1:11" ht="13.5" customHeight="1" x14ac:dyDescent="0.2">
      <c r="F73" s="100">
        <f t="shared" si="10"/>
        <v>66</v>
      </c>
      <c r="G73" s="19"/>
      <c r="H73" s="19">
        <f t="shared" ca="1" si="11"/>
        <v>508892.3572099625</v>
      </c>
      <c r="I73" s="19">
        <f ca="1">IF(K72&gt;0,K72*Parametros!$B$4,0)</f>
        <v>281053.58334122959</v>
      </c>
      <c r="J73" s="19">
        <f t="shared" ca="1" si="12"/>
        <v>227838.77386873291</v>
      </c>
      <c r="K73" s="101">
        <f t="shared" ca="1" si="13"/>
        <v>16769469.081203602</v>
      </c>
    </row>
    <row r="74" spans="1:11" ht="13.5" customHeight="1" x14ac:dyDescent="0.25">
      <c r="A74" s="32"/>
      <c r="F74" s="100">
        <f t="shared" si="10"/>
        <v>67</v>
      </c>
      <c r="G74" s="19"/>
      <c r="H74" s="19">
        <f t="shared" ca="1" si="11"/>
        <v>508892.3572099625</v>
      </c>
      <c r="I74" s="19">
        <f ca="1">IF(K73&gt;0,K73*Parametros!$B$4,0)</f>
        <v>277286.22768903611</v>
      </c>
      <c r="J74" s="19">
        <f t="shared" ca="1" si="12"/>
        <v>231606.12952092639</v>
      </c>
      <c r="K74" s="101">
        <f t="shared" ca="1" si="13"/>
        <v>16537862.951682676</v>
      </c>
    </row>
    <row r="75" spans="1:11" ht="13.5" customHeight="1" x14ac:dyDescent="0.2">
      <c r="F75" s="100">
        <f t="shared" si="10"/>
        <v>68</v>
      </c>
      <c r="G75" s="19"/>
      <c r="H75" s="19">
        <f t="shared" ca="1" si="11"/>
        <v>508892.3572099625</v>
      </c>
      <c r="I75" s="19">
        <f ca="1">IF(K74&gt;0,K74*Parametros!$B$4,0)</f>
        <v>273456.57812448911</v>
      </c>
      <c r="J75" s="19">
        <f t="shared" ca="1" si="12"/>
        <v>235435.77908547339</v>
      </c>
      <c r="K75" s="101">
        <f t="shared" ca="1" si="13"/>
        <v>16302427.172597203</v>
      </c>
    </row>
    <row r="76" spans="1:11" ht="13.5" customHeight="1" x14ac:dyDescent="0.2">
      <c r="F76" s="100">
        <f t="shared" si="10"/>
        <v>69</v>
      </c>
      <c r="G76" s="19"/>
      <c r="H76" s="19">
        <f t="shared" ca="1" si="11"/>
        <v>508892.3572099625</v>
      </c>
      <c r="I76" s="19">
        <f ca="1">IF(K75&gt;0,K75*Parametros!$B$4,0)</f>
        <v>269563.60460639402</v>
      </c>
      <c r="J76" s="19">
        <f t="shared" ca="1" si="12"/>
        <v>239328.75260356849</v>
      </c>
      <c r="K76" s="101">
        <f t="shared" ca="1" si="13"/>
        <v>16063098.419993635</v>
      </c>
    </row>
    <row r="77" spans="1:11" ht="13.5" customHeight="1" x14ac:dyDescent="0.2">
      <c r="F77" s="100">
        <f t="shared" si="10"/>
        <v>70</v>
      </c>
      <c r="G77" s="19"/>
      <c r="H77" s="19">
        <f t="shared" ca="1" si="11"/>
        <v>508892.3572099625</v>
      </c>
      <c r="I77" s="19">
        <f ca="1">IF(K76&gt;0,K76*Parametros!$B$4,0)</f>
        <v>265606.26006163744</v>
      </c>
      <c r="J77" s="19">
        <f t="shared" ca="1" si="12"/>
        <v>243286.09714832506</v>
      </c>
      <c r="K77" s="101">
        <f t="shared" ca="1" si="13"/>
        <v>15819812.32284531</v>
      </c>
    </row>
    <row r="78" spans="1:11" ht="13.5" customHeight="1" x14ac:dyDescent="0.2">
      <c r="F78" s="100">
        <f t="shared" si="10"/>
        <v>71</v>
      </c>
      <c r="G78" s="19"/>
      <c r="H78" s="19">
        <f t="shared" ca="1" si="11"/>
        <v>508892.3572099625</v>
      </c>
      <c r="I78" s="19">
        <f ca="1">IF(K77&gt;0,K77*Parametros!$B$4,0)</f>
        <v>261583.48010356101</v>
      </c>
      <c r="J78" s="19">
        <f t="shared" ca="1" si="12"/>
        <v>247308.87710640149</v>
      </c>
      <c r="K78" s="101">
        <f t="shared" ca="1" si="13"/>
        <v>15572503.44573891</v>
      </c>
    </row>
    <row r="79" spans="1:11" ht="13.5" customHeight="1" x14ac:dyDescent="0.2">
      <c r="F79" s="100">
        <f t="shared" si="10"/>
        <v>72</v>
      </c>
      <c r="G79" s="19"/>
      <c r="H79" s="19">
        <f t="shared" ca="1" si="11"/>
        <v>508892.3572099625</v>
      </c>
      <c r="I79" s="19">
        <f ca="1">IF(K78&gt;0,K78*Parametros!$B$4,0)</f>
        <v>257494.18274567931</v>
      </c>
      <c r="J79" s="19">
        <f t="shared" ca="1" si="12"/>
        <v>251398.17446428319</v>
      </c>
      <c r="K79" s="101">
        <f t="shared" ca="1" si="13"/>
        <v>15321105.271274628</v>
      </c>
    </row>
    <row r="80" spans="1:11" ht="13.5" customHeight="1" x14ac:dyDescent="0.2">
      <c r="F80" s="100">
        <f t="shared" si="10"/>
        <v>73</v>
      </c>
      <c r="G80" s="19"/>
      <c r="H80" s="19">
        <f t="shared" ca="1" si="11"/>
        <v>508892.3572099625</v>
      </c>
      <c r="I80" s="19">
        <f ca="1">IF(K79&gt;0,K79*Parametros!$B$4,0)</f>
        <v>253337.26811066287</v>
      </c>
      <c r="J80" s="19">
        <f t="shared" ca="1" si="12"/>
        <v>255555.08909929963</v>
      </c>
      <c r="K80" s="101">
        <f t="shared" ca="1" si="13"/>
        <v>15065550.182175329</v>
      </c>
    </row>
    <row r="81" spans="6:11" ht="13.5" customHeight="1" x14ac:dyDescent="0.2">
      <c r="F81" s="100">
        <f t="shared" si="10"/>
        <v>74</v>
      </c>
      <c r="G81" s="19"/>
      <c r="H81" s="19">
        <f t="shared" ca="1" si="11"/>
        <v>508892.3572099625</v>
      </c>
      <c r="I81" s="19">
        <f ca="1">IF(K80&gt;0,K80*Parametros!$B$4,0)</f>
        <v>249111.61813451024</v>
      </c>
      <c r="J81" s="19">
        <f t="shared" ca="1" si="12"/>
        <v>259780.73907545226</v>
      </c>
      <c r="K81" s="101">
        <f t="shared" ca="1" si="13"/>
        <v>14805769.443099877</v>
      </c>
    </row>
    <row r="82" spans="6:11" ht="13.5" customHeight="1" x14ac:dyDescent="0.2">
      <c r="F82" s="100">
        <f t="shared" si="10"/>
        <v>75</v>
      </c>
      <c r="G82" s="19"/>
      <c r="H82" s="19">
        <f t="shared" ca="1" si="11"/>
        <v>508892.3572099625</v>
      </c>
      <c r="I82" s="19">
        <f ca="1">IF(K81&gt;0,K81*Parametros!$B$4,0)</f>
        <v>244816.09626582795</v>
      </c>
      <c r="J82" s="19">
        <f t="shared" ca="1" si="12"/>
        <v>264076.26094413456</v>
      </c>
      <c r="K82" s="101">
        <f t="shared" ca="1" si="13"/>
        <v>14541693.182155743</v>
      </c>
    </row>
    <row r="83" spans="6:11" ht="13.5" customHeight="1" x14ac:dyDescent="0.2">
      <c r="F83" s="100">
        <f t="shared" si="10"/>
        <v>76</v>
      </c>
      <c r="G83" s="19"/>
      <c r="H83" s="19">
        <f t="shared" ca="1" si="11"/>
        <v>508892.3572099625</v>
      </c>
      <c r="I83" s="19">
        <f ca="1">IF(K82&gt;0,K82*Parametros!$B$4,0)</f>
        <v>240449.54716013803</v>
      </c>
      <c r="J83" s="19">
        <f t="shared" ca="1" si="12"/>
        <v>268442.81004982447</v>
      </c>
      <c r="K83" s="101">
        <f t="shared" ca="1" si="13"/>
        <v>14273250.372105919</v>
      </c>
    </row>
    <row r="84" spans="6:11" ht="13.5" customHeight="1" x14ac:dyDescent="0.2">
      <c r="F84" s="100">
        <f t="shared" si="10"/>
        <v>77</v>
      </c>
      <c r="G84" s="19"/>
      <c r="H84" s="19">
        <f t="shared" ca="1" si="11"/>
        <v>508892.3572099625</v>
      </c>
      <c r="I84" s="19">
        <f ca="1">IF(K83&gt;0,K83*Parametros!$B$4,0)</f>
        <v>236010.79636913099</v>
      </c>
      <c r="J84" s="19">
        <f t="shared" ca="1" si="12"/>
        <v>272881.56084083149</v>
      </c>
      <c r="K84" s="101">
        <f t="shared" ca="1" si="13"/>
        <v>14000368.811265089</v>
      </c>
    </row>
    <row r="85" spans="6:11" ht="13.5" customHeight="1" x14ac:dyDescent="0.2">
      <c r="F85" s="100">
        <f t="shared" si="10"/>
        <v>78</v>
      </c>
      <c r="G85" s="19"/>
      <c r="H85" s="19">
        <f t="shared" ca="1" si="11"/>
        <v>508892.3572099625</v>
      </c>
      <c r="I85" s="19">
        <f ca="1">IF(K84&gt;0,K84*Parametros!$B$4,0)</f>
        <v>231498.6500247806</v>
      </c>
      <c r="J85" s="19">
        <f t="shared" ca="1" si="12"/>
        <v>277393.70718518191</v>
      </c>
      <c r="K85" s="101">
        <f t="shared" ca="1" si="13"/>
        <v>13722975.104079908</v>
      </c>
    </row>
    <row r="86" spans="6:11" ht="13.5" customHeight="1" x14ac:dyDescent="0.2">
      <c r="F86" s="100">
        <f t="shared" si="10"/>
        <v>79</v>
      </c>
      <c r="G86" s="19"/>
      <c r="H86" s="19">
        <f t="shared" ca="1" si="11"/>
        <v>508892.3572099625</v>
      </c>
      <c r="I86" s="19">
        <f ca="1">IF(K85&gt;0,K85*Parametros!$B$4,0)</f>
        <v>226911.89451823503</v>
      </c>
      <c r="J86" s="19">
        <f t="shared" ca="1" si="12"/>
        <v>281980.46269172744</v>
      </c>
      <c r="K86" s="101">
        <f t="shared" ca="1" si="13"/>
        <v>13440994.641388182</v>
      </c>
    </row>
    <row r="87" spans="6:11" ht="13.5" customHeight="1" x14ac:dyDescent="0.2">
      <c r="F87" s="100">
        <f t="shared" si="10"/>
        <v>80</v>
      </c>
      <c r="G87" s="19"/>
      <c r="H87" s="19">
        <f t="shared" ca="1" si="11"/>
        <v>508892.3572099625</v>
      </c>
      <c r="I87" s="19">
        <f ca="1">IF(K86&gt;0,K86*Parametros!$B$4,0)</f>
        <v>222249.29617339908</v>
      </c>
      <c r="J87" s="19">
        <f t="shared" ca="1" si="12"/>
        <v>286643.06103656342</v>
      </c>
      <c r="K87" s="101">
        <f t="shared" ca="1" si="13"/>
        <v>13154351.580351619</v>
      </c>
    </row>
    <row r="88" spans="6:11" ht="13.5" customHeight="1" x14ac:dyDescent="0.2">
      <c r="F88" s="100">
        <f t="shared" si="10"/>
        <v>81</v>
      </c>
      <c r="G88" s="19"/>
      <c r="H88" s="19">
        <f t="shared" ca="1" si="11"/>
        <v>508892.3572099625</v>
      </c>
      <c r="I88" s="19">
        <f ca="1">IF(K87&gt;0,K87*Parametros!$B$4,0)</f>
        <v>217509.60091511832</v>
      </c>
      <c r="J88" s="19">
        <f t="shared" ca="1" si="12"/>
        <v>291382.75629484421</v>
      </c>
      <c r="K88" s="101">
        <f t="shared" ca="1" si="13"/>
        <v>12862968.824056776</v>
      </c>
    </row>
    <row r="89" spans="6:11" ht="13.5" customHeight="1" x14ac:dyDescent="0.2">
      <c r="F89" s="100">
        <f t="shared" si="10"/>
        <v>82</v>
      </c>
      <c r="G89" s="19"/>
      <c r="H89" s="19">
        <f t="shared" ca="1" si="11"/>
        <v>508892.3572099625</v>
      </c>
      <c r="I89" s="19">
        <f ca="1">IF(K88&gt;0,K88*Parametros!$B$4,0)</f>
        <v>212691.53393187714</v>
      </c>
      <c r="J89" s="19">
        <f t="shared" ca="1" si="12"/>
        <v>296200.82327808533</v>
      </c>
      <c r="K89" s="101">
        <f t="shared" ca="1" si="13"/>
        <v>12566768.000778692</v>
      </c>
    </row>
    <row r="90" spans="6:11" ht="13.5" customHeight="1" x14ac:dyDescent="0.2">
      <c r="F90" s="100">
        <f t="shared" si="10"/>
        <v>83</v>
      </c>
      <c r="G90" s="19"/>
      <c r="H90" s="19">
        <f t="shared" ca="1" si="11"/>
        <v>508892.3572099625</v>
      </c>
      <c r="I90" s="19">
        <f ca="1">IF(K89&gt;0,K89*Parametros!$B$4,0)</f>
        <v>207793.79933291918</v>
      </c>
      <c r="J90" s="19">
        <f t="shared" ca="1" si="12"/>
        <v>301098.55787704332</v>
      </c>
      <c r="K90" s="101">
        <f t="shared" ca="1" si="13"/>
        <v>12265669.442901649</v>
      </c>
    </row>
    <row r="91" spans="6:11" ht="13.5" customHeight="1" x14ac:dyDescent="0.2">
      <c r="F91" s="100">
        <f t="shared" si="10"/>
        <v>84</v>
      </c>
      <c r="G91" s="19"/>
      <c r="H91" s="19">
        <f t="shared" ref="H91:H123" ca="1" si="14">IF(F91&lt;$D$17,$D$15,IF(F91=$D$17,K90+I91,0))</f>
        <v>508892.3572099625</v>
      </c>
      <c r="I91" s="19">
        <f ca="1">IF(K90&gt;0,K90*Parametros!$B$4,0)</f>
        <v>202815.07979969817</v>
      </c>
      <c r="J91" s="19">
        <f t="shared" ref="J91:J123" ca="1" si="15">+H91-I91</f>
        <v>306077.27741026436</v>
      </c>
      <c r="K91" s="101">
        <f t="shared" ref="K91:K123" ca="1" si="16">+K90+I91-H91+G91</f>
        <v>11959592.165491385</v>
      </c>
    </row>
    <row r="92" spans="6:11" ht="13.5" customHeight="1" x14ac:dyDescent="0.2">
      <c r="F92" s="100">
        <f t="shared" si="10"/>
        <v>85</v>
      </c>
      <c r="G92" s="19"/>
      <c r="H92" s="19">
        <f t="shared" ca="1" si="14"/>
        <v>508892.3572099625</v>
      </c>
      <c r="I92" s="19">
        <f ca="1">IF(K91&gt;0,K91*Parametros!$B$4,0)</f>
        <v>197754.03623156564</v>
      </c>
      <c r="J92" s="19">
        <f t="shared" ca="1" si="15"/>
        <v>311138.32097839686</v>
      </c>
      <c r="K92" s="101">
        <f t="shared" ca="1" si="16"/>
        <v>11648453.84451299</v>
      </c>
    </row>
    <row r="93" spans="6:11" ht="13.5" customHeight="1" x14ac:dyDescent="0.2">
      <c r="F93" s="100">
        <f t="shared" si="10"/>
        <v>86</v>
      </c>
      <c r="G93" s="19"/>
      <c r="H93" s="19">
        <f t="shared" ca="1" si="14"/>
        <v>508892.3572099625</v>
      </c>
      <c r="I93" s="19">
        <f ca="1">IF(K92&gt;0,K92*Parametros!$B$4,0)</f>
        <v>192609.30738559985</v>
      </c>
      <c r="J93" s="19">
        <f t="shared" ca="1" si="15"/>
        <v>316283.04982436262</v>
      </c>
      <c r="K93" s="101">
        <f t="shared" ca="1" si="16"/>
        <v>11332170.794688627</v>
      </c>
    </row>
    <row r="94" spans="6:11" ht="13.5" customHeight="1" x14ac:dyDescent="0.2">
      <c r="F94" s="100">
        <f t="shared" si="10"/>
        <v>87</v>
      </c>
      <c r="G94" s="19"/>
      <c r="H94" s="19">
        <f t="shared" ca="1" si="14"/>
        <v>508892.3572099625</v>
      </c>
      <c r="I94" s="19">
        <f ca="1">IF(K93&gt;0,K93*Parametros!$B$4,0)</f>
        <v>187379.50951047914</v>
      </c>
      <c r="J94" s="19">
        <f t="shared" ca="1" si="15"/>
        <v>321512.84769948339</v>
      </c>
      <c r="K94" s="101">
        <f t="shared" ca="1" si="16"/>
        <v>11010657.946989145</v>
      </c>
    </row>
    <row r="95" spans="6:11" ht="13.5" customHeight="1" x14ac:dyDescent="0.2">
      <c r="F95" s="100">
        <f t="shared" si="10"/>
        <v>88</v>
      </c>
      <c r="G95" s="19"/>
      <c r="H95" s="19">
        <f t="shared" ca="1" si="14"/>
        <v>508892.3572099625</v>
      </c>
      <c r="I95" s="19">
        <f ca="1">IF(K94&gt;0,K94*Parametros!$B$4,0)</f>
        <v>182063.23597430167</v>
      </c>
      <c r="J95" s="19">
        <f t="shared" ca="1" si="15"/>
        <v>326829.12123566086</v>
      </c>
      <c r="K95" s="101">
        <f t="shared" ca="1" si="16"/>
        <v>10683828.825753486</v>
      </c>
    </row>
    <row r="96" spans="6:11" ht="13.5" customHeight="1" x14ac:dyDescent="0.2">
      <c r="F96" s="100">
        <f t="shared" si="10"/>
        <v>89</v>
      </c>
      <c r="G96" s="19"/>
      <c r="H96" s="19">
        <f t="shared" ca="1" si="14"/>
        <v>508892.3572099625</v>
      </c>
      <c r="I96" s="19">
        <f ca="1">IF(K95&gt;0,K95*Parametros!$B$4,0)</f>
        <v>176659.05688625065</v>
      </c>
      <c r="J96" s="19">
        <f t="shared" ca="1" si="15"/>
        <v>332233.30032371182</v>
      </c>
      <c r="K96" s="101">
        <f t="shared" ca="1" si="16"/>
        <v>10351595.525429774</v>
      </c>
    </row>
    <row r="97" spans="6:11" ht="13.5" customHeight="1" x14ac:dyDescent="0.2">
      <c r="F97" s="100">
        <f t="shared" si="10"/>
        <v>90</v>
      </c>
      <c r="G97" s="19"/>
      <c r="H97" s="19">
        <f t="shared" ca="1" si="14"/>
        <v>508892.3572099625</v>
      </c>
      <c r="I97" s="19">
        <f ca="1">IF(K96&gt;0,K96*Parametros!$B$4,0)</f>
        <v>171165.51871200401</v>
      </c>
      <c r="J97" s="19">
        <f t="shared" ca="1" si="15"/>
        <v>337726.8384979585</v>
      </c>
      <c r="K97" s="101">
        <f ca="1">+K96+I97-H97+G97</f>
        <v>10013868.686931817</v>
      </c>
    </row>
    <row r="98" spans="6:11" ht="13.5" customHeight="1" x14ac:dyDescent="0.2">
      <c r="F98" s="100">
        <f t="shared" si="10"/>
        <v>91</v>
      </c>
      <c r="G98" s="19"/>
      <c r="H98" s="19">
        <f t="shared" ca="1" si="14"/>
        <v>508892.3572099625</v>
      </c>
      <c r="I98" s="19">
        <f ca="1">IF(K97&gt;0,K97*Parametros!$B$4,0)</f>
        <v>165581.14388278482</v>
      </c>
      <c r="J98" s="19">
        <f t="shared" ca="1" si="15"/>
        <v>343311.21332717768</v>
      </c>
      <c r="K98" s="101">
        <f t="shared" ca="1" si="16"/>
        <v>9670557.47360464</v>
      </c>
    </row>
    <row r="99" spans="6:11" ht="13.5" customHeight="1" x14ac:dyDescent="0.2">
      <c r="F99" s="100">
        <f t="shared" si="10"/>
        <v>92</v>
      </c>
      <c r="G99" s="19"/>
      <c r="H99" s="19">
        <f t="shared" ca="1" si="14"/>
        <v>508892.3572099625</v>
      </c>
      <c r="I99" s="19">
        <f ca="1">IF(K98&gt;0,K98*Parametros!$B$4,0)</f>
        <v>159904.43039794703</v>
      </c>
      <c r="J99" s="19">
        <f t="shared" ca="1" si="15"/>
        <v>348987.92681201547</v>
      </c>
      <c r="K99" s="101">
        <f t="shared" ca="1" si="16"/>
        <v>9321569.5467926245</v>
      </c>
    </row>
    <row r="100" spans="6:11" ht="13.5" customHeight="1" x14ac:dyDescent="0.2">
      <c r="F100" s="100">
        <f t="shared" si="10"/>
        <v>93</v>
      </c>
      <c r="G100" s="19"/>
      <c r="H100" s="19">
        <f t="shared" ca="1" si="14"/>
        <v>508892.3572099625</v>
      </c>
      <c r="I100" s="19">
        <f ca="1">IF(K99&gt;0,K99*Parametros!$B$4,0)</f>
        <v>154133.85142099019</v>
      </c>
      <c r="J100" s="19">
        <f t="shared" ca="1" si="15"/>
        <v>354758.50578897231</v>
      </c>
      <c r="K100" s="101">
        <f t="shared" ca="1" si="16"/>
        <v>8966811.0410036519</v>
      </c>
    </row>
    <row r="101" spans="6:11" ht="13.5" customHeight="1" x14ac:dyDescent="0.2">
      <c r="F101" s="100">
        <f t="shared" si="10"/>
        <v>94</v>
      </c>
      <c r="G101" s="19"/>
      <c r="H101" s="19">
        <f t="shared" ca="1" si="14"/>
        <v>508892.3572099625</v>
      </c>
      <c r="I101" s="19">
        <f ca="1">IF(K100&gt;0,K100*Parametros!$B$4,0)</f>
        <v>148267.85486889406</v>
      </c>
      <c r="J101" s="19">
        <f t="shared" ca="1" si="15"/>
        <v>360624.50234106847</v>
      </c>
      <c r="K101" s="101">
        <f t="shared" ca="1" si="16"/>
        <v>8606186.5386625845</v>
      </c>
    </row>
    <row r="102" spans="6:11" ht="13.5" customHeight="1" x14ac:dyDescent="0.2">
      <c r="F102" s="100">
        <f t="shared" si="10"/>
        <v>95</v>
      </c>
      <c r="G102" s="19"/>
      <c r="H102" s="19">
        <f t="shared" ca="1" si="14"/>
        <v>508892.3572099625</v>
      </c>
      <c r="I102" s="19">
        <f ca="1">IF(K101&gt;0,K101*Parametros!$B$4,0)</f>
        <v>142304.86299466272</v>
      </c>
      <c r="J102" s="19">
        <f t="shared" ca="1" si="15"/>
        <v>366587.49421529978</v>
      </c>
      <c r="K102" s="101">
        <f t="shared" ca="1" si="16"/>
        <v>8239599.0444472851</v>
      </c>
    </row>
    <row r="103" spans="6:11" ht="13.5" customHeight="1" x14ac:dyDescent="0.2">
      <c r="F103" s="100">
        <f t="shared" si="10"/>
        <v>96</v>
      </c>
      <c r="G103" s="19"/>
      <c r="H103" s="19">
        <f t="shared" ca="1" si="14"/>
        <v>508892.3572099625</v>
      </c>
      <c r="I103" s="19">
        <f ca="1">IF(K102&gt;0,K102*Parametros!$B$4,0)</f>
        <v>136243.27196296616</v>
      </c>
      <c r="J103" s="19">
        <f t="shared" ca="1" si="15"/>
        <v>372649.08524699637</v>
      </c>
      <c r="K103" s="101">
        <f t="shared" ca="1" si="16"/>
        <v>7866949.9592002882</v>
      </c>
    </row>
    <row r="104" spans="6:11" ht="13.5" customHeight="1" x14ac:dyDescent="0.2">
      <c r="F104" s="100">
        <f t="shared" ref="F104:F123" si="17">IFERROR(IF(F103+1&lt;=$D$17,F103+1,""),"")</f>
        <v>97</v>
      </c>
      <c r="G104" s="19"/>
      <c r="H104" s="19">
        <f t="shared" ca="1" si="14"/>
        <v>508892.3572099625</v>
      </c>
      <c r="I104" s="19">
        <f ca="1">IF(K103&gt;0,K103*Parametros!$B$4,0)</f>
        <v>130081.45141876479</v>
      </c>
      <c r="J104" s="19">
        <f t="shared" ca="1" si="15"/>
        <v>378810.90579119773</v>
      </c>
      <c r="K104" s="101">
        <f t="shared" ca="1" si="16"/>
        <v>7488139.0534090903</v>
      </c>
    </row>
    <row r="105" spans="6:11" ht="13.5" customHeight="1" x14ac:dyDescent="0.2">
      <c r="F105" s="100">
        <f t="shared" si="17"/>
        <v>98</v>
      </c>
      <c r="G105" s="19"/>
      <c r="H105" s="19">
        <f t="shared" ca="1" si="14"/>
        <v>508892.3572099625</v>
      </c>
      <c r="I105" s="19">
        <f ca="1">IF(K104&gt;0,K104*Parametros!$B$4,0)</f>
        <v>123817.74404880141</v>
      </c>
      <c r="J105" s="19">
        <f t="shared" ca="1" si="15"/>
        <v>385074.61316116108</v>
      </c>
      <c r="K105" s="101">
        <f t="shared" ca="1" si="16"/>
        <v>7103064.4402479287</v>
      </c>
    </row>
    <row r="106" spans="6:11" ht="13.5" customHeight="1" x14ac:dyDescent="0.2">
      <c r="F106" s="100">
        <f t="shared" si="17"/>
        <v>99</v>
      </c>
      <c r="G106" s="19"/>
      <c r="H106" s="19">
        <f t="shared" ca="1" si="14"/>
        <v>508892.3572099625</v>
      </c>
      <c r="I106" s="19">
        <f ca="1">IF(K105&gt;0,K105*Parametros!$B$4,0)</f>
        <v>117450.46513584195</v>
      </c>
      <c r="J106" s="19">
        <f t="shared" ca="1" si="15"/>
        <v>391441.89207412058</v>
      </c>
      <c r="K106" s="101">
        <f t="shared" ca="1" si="16"/>
        <v>6711622.5481738076</v>
      </c>
    </row>
    <row r="107" spans="6:11" ht="13.5" customHeight="1" x14ac:dyDescent="0.2">
      <c r="F107" s="100">
        <f t="shared" si="17"/>
        <v>100</v>
      </c>
      <c r="G107" s="19"/>
      <c r="H107" s="19">
        <f t="shared" ca="1" si="14"/>
        <v>508892.3572099625</v>
      </c>
      <c r="I107" s="19">
        <f ca="1">IF(K106&gt;0,K106*Parametros!$B$4,0)</f>
        <v>110977.90210554586</v>
      </c>
      <c r="J107" s="19">
        <f t="shared" ca="1" si="15"/>
        <v>397914.45510441664</v>
      </c>
      <c r="K107" s="101">
        <f t="shared" ca="1" si="16"/>
        <v>6313708.0930693904</v>
      </c>
    </row>
    <row r="108" spans="6:11" ht="13.5" customHeight="1" x14ac:dyDescent="0.2">
      <c r="F108" s="100">
        <f t="shared" si="17"/>
        <v>101</v>
      </c>
      <c r="G108" s="19"/>
      <c r="H108" s="19">
        <f t="shared" ca="1" si="14"/>
        <v>508892.3572099625</v>
      </c>
      <c r="I108" s="19">
        <f ca="1">IF(K107&gt;0,K107*Parametros!$B$4,0)</f>
        <v>104398.3140658437</v>
      </c>
      <c r="J108" s="19">
        <f t="shared" ca="1" si="15"/>
        <v>404494.0431441188</v>
      </c>
      <c r="K108" s="101">
        <f t="shared" ca="1" si="16"/>
        <v>5909214.0499252714</v>
      </c>
    </row>
    <row r="109" spans="6:11" ht="13.5" customHeight="1" x14ac:dyDescent="0.2">
      <c r="F109" s="100">
        <f t="shared" si="17"/>
        <v>102</v>
      </c>
      <c r="G109" s="19"/>
      <c r="H109" s="19">
        <f t="shared" ca="1" si="14"/>
        <v>508892.3572099625</v>
      </c>
      <c r="I109" s="19">
        <f ca="1">IF(K108&gt;0,K108*Parametros!$B$4,0)</f>
        <v>97709.931338698429</v>
      </c>
      <c r="J109" s="19">
        <f t="shared" ca="1" si="15"/>
        <v>411182.42587126407</v>
      </c>
      <c r="K109" s="101">
        <f t="shared" ca="1" si="16"/>
        <v>5498031.6240540072</v>
      </c>
    </row>
    <row r="110" spans="6:11" ht="13.5" customHeight="1" x14ac:dyDescent="0.2">
      <c r="F110" s="100">
        <f t="shared" si="17"/>
        <v>103</v>
      </c>
      <c r="G110" s="19"/>
      <c r="H110" s="19">
        <f t="shared" ca="1" si="14"/>
        <v>508892.3572099625</v>
      </c>
      <c r="I110" s="19">
        <f ca="1">IF(K109&gt;0,K109*Parametros!$B$4,0)</f>
        <v>90910.954984124037</v>
      </c>
      <c r="J110" s="19">
        <f t="shared" ca="1" si="15"/>
        <v>417981.40222583845</v>
      </c>
      <c r="K110" s="101">
        <f t="shared" ca="1" si="16"/>
        <v>5080050.2218281683</v>
      </c>
    </row>
    <row r="111" spans="6:11" ht="13.5" customHeight="1" x14ac:dyDescent="0.2">
      <c r="F111" s="100">
        <f t="shared" si="17"/>
        <v>104</v>
      </c>
      <c r="G111" s="19"/>
      <c r="H111" s="19">
        <f t="shared" ca="1" si="14"/>
        <v>508892.3572099625</v>
      </c>
      <c r="I111" s="19">
        <f ca="1">IF(K110&gt;0,K110*Parametros!$B$4,0)</f>
        <v>83999.556316334012</v>
      </c>
      <c r="J111" s="19">
        <f t="shared" ca="1" si="15"/>
        <v>424892.8008936285</v>
      </c>
      <c r="K111" s="101">
        <f t="shared" ca="1" si="16"/>
        <v>4655157.4209345393</v>
      </c>
    </row>
    <row r="112" spans="6:11" ht="13.5" customHeight="1" x14ac:dyDescent="0.2">
      <c r="F112" s="100">
        <f t="shared" si="17"/>
        <v>105</v>
      </c>
      <c r="G112" s="19"/>
      <c r="H112" s="19">
        <f t="shared" ca="1" si="14"/>
        <v>508892.3572099625</v>
      </c>
      <c r="I112" s="19">
        <f ca="1">IF(K111&gt;0,K111*Parametros!$B$4,0)</f>
        <v>76973.876411889069</v>
      </c>
      <c r="J112" s="19">
        <f t="shared" ca="1" si="15"/>
        <v>431918.48079807346</v>
      </c>
      <c r="K112" s="101">
        <f t="shared" ca="1" si="16"/>
        <v>4223238.9401364652</v>
      </c>
    </row>
    <row r="113" spans="6:11" ht="13.5" customHeight="1" x14ac:dyDescent="0.2">
      <c r="F113" s="100">
        <f t="shared" si="17"/>
        <v>106</v>
      </c>
      <c r="G113" s="19"/>
      <c r="H113" s="19">
        <f t="shared" ca="1" si="14"/>
        <v>508892.3572099625</v>
      </c>
      <c r="I113" s="19">
        <f ca="1">IF(K112&gt;0,K112*Parametros!$B$4,0)</f>
        <v>69832.025609712</v>
      </c>
      <c r="J113" s="19">
        <f t="shared" ca="1" si="15"/>
        <v>439060.3316002505</v>
      </c>
      <c r="K113" s="101">
        <f t="shared" ca="1" si="16"/>
        <v>3784178.608536215</v>
      </c>
    </row>
    <row r="114" spans="6:11" ht="13.5" customHeight="1" x14ac:dyDescent="0.2">
      <c r="F114" s="100">
        <f t="shared" si="17"/>
        <v>107</v>
      </c>
      <c r="G114" s="19"/>
      <c r="H114" s="19">
        <f t="shared" ca="1" si="14"/>
        <v>508892.3572099625</v>
      </c>
      <c r="I114" s="19">
        <f ca="1">IF(K113&gt;0,K113*Parametros!$B$4,0)</f>
        <v>62572.083002835352</v>
      </c>
      <c r="J114" s="19">
        <f t="shared" ca="1" si="15"/>
        <v>446320.27420712716</v>
      </c>
      <c r="K114" s="101">
        <f t="shared" ca="1" si="16"/>
        <v>3337858.3343290882</v>
      </c>
    </row>
    <row r="115" spans="6:11" ht="13.5" customHeight="1" x14ac:dyDescent="0.2">
      <c r="F115" s="100">
        <f t="shared" si="17"/>
        <v>108</v>
      </c>
      <c r="G115" s="19"/>
      <c r="H115" s="19">
        <f t="shared" ca="1" si="14"/>
        <v>508892.3572099625</v>
      </c>
      <c r="I115" s="19">
        <f ca="1">IF(K114&gt;0,K114*Parametros!$B$4,0)</f>
        <v>55192.095921744774</v>
      </c>
      <c r="J115" s="19">
        <f t="shared" ca="1" si="15"/>
        <v>453700.26128821773</v>
      </c>
      <c r="K115" s="101">
        <f t="shared" ca="1" si="16"/>
        <v>2884158.0730408705</v>
      </c>
    </row>
    <row r="116" spans="6:11" ht="13.5" customHeight="1" x14ac:dyDescent="0.2">
      <c r="F116" s="100">
        <f t="shared" si="17"/>
        <v>109</v>
      </c>
      <c r="G116" s="19"/>
      <c r="H116" s="19">
        <f t="shared" ca="1" si="14"/>
        <v>508892.3572099625</v>
      </c>
      <c r="I116" s="19">
        <f ca="1">IF(K115&gt;0,K115*Parametros!$B$4,0)</f>
        <v>47690.079409179642</v>
      </c>
      <c r="J116" s="19">
        <f t="shared" ca="1" si="15"/>
        <v>461202.27780078287</v>
      </c>
      <c r="K116" s="101">
        <f t="shared" ca="1" si="16"/>
        <v>2422955.7952400879</v>
      </c>
    </row>
    <row r="117" spans="6:11" ht="13.5" customHeight="1" x14ac:dyDescent="0.2">
      <c r="F117" s="100">
        <f t="shared" si="17"/>
        <v>110</v>
      </c>
      <c r="G117" s="19"/>
      <c r="H117" s="19">
        <f t="shared" ca="1" si="14"/>
        <v>508892.3572099625</v>
      </c>
      <c r="I117" s="19">
        <f ca="1">IF(K116&gt;0,K116*Parametros!$B$4,0)</f>
        <v>40064.015686249229</v>
      </c>
      <c r="J117" s="19">
        <f t="shared" ca="1" si="15"/>
        <v>468828.34152371326</v>
      </c>
      <c r="K117" s="101">
        <f t="shared" ca="1" si="16"/>
        <v>1954127.4537163747</v>
      </c>
    </row>
    <row r="118" spans="6:11" ht="13.5" customHeight="1" x14ac:dyDescent="0.2">
      <c r="F118" s="100">
        <f t="shared" si="17"/>
        <v>111</v>
      </c>
      <c r="G118" s="19"/>
      <c r="H118" s="19">
        <f t="shared" ca="1" si="14"/>
        <v>508892.3572099625</v>
      </c>
      <c r="I118" s="19">
        <f ca="1">IF(K117&gt;0,K117*Parametros!$B$4,0)</f>
        <v>32311.853609721107</v>
      </c>
      <c r="J118" s="19">
        <f t="shared" ca="1" si="15"/>
        <v>476580.50360024138</v>
      </c>
      <c r="K118" s="101">
        <f t="shared" ca="1" si="16"/>
        <v>1477546.9501161333</v>
      </c>
    </row>
    <row r="119" spans="6:11" ht="13.5" customHeight="1" x14ac:dyDescent="0.2">
      <c r="F119" s="100">
        <f t="shared" si="17"/>
        <v>112</v>
      </c>
      <c r="G119" s="19"/>
      <c r="H119" s="19">
        <f t="shared" ca="1" si="14"/>
        <v>508892.3572099625</v>
      </c>
      <c r="I119" s="19">
        <f ca="1">IF(K118&gt;0,K118*Parametros!$B$4,0)</f>
        <v>24431.508120335628</v>
      </c>
      <c r="J119" s="19">
        <f t="shared" ca="1" si="15"/>
        <v>484460.84908962686</v>
      </c>
      <c r="K119" s="101">
        <f t="shared" ca="1" si="16"/>
        <v>993086.1010265064</v>
      </c>
    </row>
    <row r="120" spans="6:11" ht="13.5" customHeight="1" x14ac:dyDescent="0.2">
      <c r="F120" s="100">
        <f t="shared" si="17"/>
        <v>113</v>
      </c>
      <c r="G120" s="19"/>
      <c r="H120" s="19">
        <f t="shared" ca="1" si="14"/>
        <v>508892.3572099625</v>
      </c>
      <c r="I120" s="19">
        <f ca="1">IF(K119&gt;0,K119*Parametros!$B$4,0)</f>
        <v>16420.859681998281</v>
      </c>
      <c r="J120" s="19">
        <f t="shared" ca="1" si="15"/>
        <v>492471.49752796424</v>
      </c>
      <c r="K120" s="101">
        <f t="shared" ca="1" si="16"/>
        <v>500614.60349854216</v>
      </c>
    </row>
    <row r="121" spans="6:11" ht="13.5" customHeight="1" x14ac:dyDescent="0.2">
      <c r="F121" s="100">
        <f t="shared" si="17"/>
        <v>114</v>
      </c>
      <c r="G121" s="19"/>
      <c r="H121" s="19">
        <f t="shared" ca="1" si="14"/>
        <v>508892.35721024108</v>
      </c>
      <c r="I121" s="19">
        <f ca="1">IF(K120&gt;0,K120*Parametros!$B$4,0)</f>
        <v>8277.7537116989151</v>
      </c>
      <c r="J121" s="19">
        <f t="shared" ca="1" si="15"/>
        <v>500614.60349854216</v>
      </c>
      <c r="K121" s="101">
        <f t="shared" ca="1" si="16"/>
        <v>0</v>
      </c>
    </row>
    <row r="122" spans="6:11" ht="13.5" customHeight="1" x14ac:dyDescent="0.2">
      <c r="F122" s="100" t="str">
        <f t="shared" si="17"/>
        <v/>
      </c>
      <c r="G122" s="19"/>
      <c r="H122" s="19">
        <f t="shared" si="14"/>
        <v>0</v>
      </c>
      <c r="I122" s="19">
        <f ca="1">IF(K121&gt;0,K121*Parametros!$B$4,0)</f>
        <v>0</v>
      </c>
      <c r="J122" s="19">
        <f t="shared" ca="1" si="15"/>
        <v>0</v>
      </c>
      <c r="K122" s="101">
        <f t="shared" ca="1" si="16"/>
        <v>0</v>
      </c>
    </row>
    <row r="123" spans="6:11" ht="13.5" customHeight="1" x14ac:dyDescent="0.2">
      <c r="F123" s="102" t="str">
        <f t="shared" si="17"/>
        <v/>
      </c>
      <c r="G123" s="103"/>
      <c r="H123" s="103">
        <f t="shared" si="14"/>
        <v>0</v>
      </c>
      <c r="I123" s="103">
        <f ca="1">IF(K122&gt;0,K122*Parametros!$B$4,0)</f>
        <v>0</v>
      </c>
      <c r="J123" s="103">
        <f t="shared" ca="1" si="15"/>
        <v>0</v>
      </c>
      <c r="K123" s="104">
        <f t="shared" ca="1" si="16"/>
        <v>0</v>
      </c>
    </row>
    <row r="144" spans="6:11" ht="12" x14ac:dyDescent="0.2">
      <c r="F144" s="15"/>
      <c r="G144" s="15"/>
      <c r="H144" s="15"/>
      <c r="I144" s="15"/>
      <c r="J144" s="15"/>
      <c r="K144" s="15"/>
    </row>
  </sheetData>
  <sheetProtection password="A0EC" sheet="1" objects="1" scenarios="1" selectLockedCells="1"/>
  <dataConsolidate/>
  <mergeCells count="4">
    <mergeCell ref="B23:D23"/>
    <mergeCell ref="A1:K1"/>
    <mergeCell ref="F5:K5"/>
    <mergeCell ref="A42:E49"/>
  </mergeCells>
  <conditionalFormatting sqref="F8:K123">
    <cfRule type="cellIs" dxfId="19" priority="5" operator="between">
      <formula>-1</formula>
      <formula>0.9</formula>
    </cfRule>
  </conditionalFormatting>
  <conditionalFormatting sqref="D25:D39">
    <cfRule type="cellIs" dxfId="18" priority="4" operator="equal">
      <formula>0</formula>
    </cfRule>
  </conditionalFormatting>
  <conditionalFormatting sqref="B25:C39">
    <cfRule type="cellIs" dxfId="17" priority="2" operator="equal">
      <formula>0</formula>
    </cfRule>
  </conditionalFormatting>
  <conditionalFormatting sqref="C40:D40">
    <cfRule type="cellIs" dxfId="16" priority="1" operator="equal">
      <formula>0</formula>
    </cfRule>
  </conditionalFormatting>
  <dataValidations xWindow="489" yWindow="209" count="3">
    <dataValidation type="whole" operator="greaterThanOrEqual" allowBlank="1" showInputMessage="1" showErrorMessage="1" prompt="Mínimo $1.5 mm" sqref="D11">
      <formula1>1500000</formula1>
    </dataValidation>
    <dataValidation allowBlank="1" showInputMessage="1" showErrorMessage="1" error="Error en la fecha Edad" sqref="D8"/>
    <dataValidation type="whole" allowBlank="1" showInputMessage="1" showErrorMessage="1" error="REVISAR NUMERO DE PERIODOS DE ACUERDO AL TIPO DE PROGRAMA DE ESTUDIO" prompt="Número de Semestres (máximo 10)._x000a_Número de Años (máximo 5)._x000a_Número de Cuatrimestres (máximo 15)." sqref="D9">
      <formula1>0</formula1>
      <formula2>IF(D7="SEMESTRAL",10,IF(D7="ANUAL",5,IF(D7="CUATRIMESTRAL",15,0)))</formula2>
    </dataValidation>
  </dataValidations>
  <pageMargins left="0.51181102362204722" right="0.51181102362204722" top="0.59055118110236227" bottom="0.59055118110236227" header="0.31496062992125984" footer="0.31496062992125984"/>
  <pageSetup scale="43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89" yWindow="209" count="2">
        <x14:dataValidation type="list" allowBlank="1" showInputMessage="1" showErrorMessage="1">
          <x14:formula1>
            <xm:f>IF($D$9=1,Parametros!$B$11:$B$15,Parametros!$B$12:$B$15)</xm:f>
          </x14:formula1>
          <xm:sqref>D13</xm:sqref>
        </x14:dataValidation>
        <x14:dataValidation type="list" allowBlank="1" showInputMessage="1" showErrorMessage="1">
          <x14:formula1>
            <xm:f>Parametros!$B$17:$B$19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W164"/>
  <sheetViews>
    <sheetView zoomScale="80" zoomScaleNormal="80" workbookViewId="0">
      <selection activeCell="H15" sqref="H15"/>
    </sheetView>
  </sheetViews>
  <sheetFormatPr baseColWidth="10" defaultRowHeight="12" x14ac:dyDescent="0.2"/>
  <cols>
    <col min="1" max="1" width="22.42578125" style="2" bestFit="1" customWidth="1"/>
    <col min="2" max="2" width="14.5703125" style="2" customWidth="1"/>
    <col min="3" max="5" width="11.42578125" style="2" customWidth="1"/>
    <col min="6" max="7" width="11.42578125" style="2"/>
    <col min="8" max="8" width="17.140625" style="2" bestFit="1" customWidth="1"/>
    <col min="9" max="9" width="17.140625" style="2" customWidth="1"/>
    <col min="10" max="13" width="11.42578125" style="2"/>
    <col min="14" max="15" width="17" style="2" customWidth="1"/>
    <col min="16" max="19" width="11.42578125" style="2"/>
    <col min="20" max="21" width="17.7109375" style="2" customWidth="1"/>
    <col min="22" max="16384" width="11.42578125" style="2"/>
  </cols>
  <sheetData>
    <row r="1" spans="1:23" x14ac:dyDescent="0.2">
      <c r="A1" s="69" t="s">
        <v>45</v>
      </c>
      <c r="B1" s="70"/>
    </row>
    <row r="2" spans="1:23" x14ac:dyDescent="0.2">
      <c r="A2" s="69" t="s">
        <v>0</v>
      </c>
      <c r="B2" s="71">
        <v>0.2175</v>
      </c>
      <c r="C2" s="1"/>
      <c r="D2" s="1"/>
      <c r="E2" s="1"/>
    </row>
    <row r="3" spans="1:23" x14ac:dyDescent="0.2">
      <c r="A3" s="69" t="s">
        <v>8</v>
      </c>
      <c r="B3" s="71">
        <f>NOMINAL(B2,12)</f>
        <v>0.19842218713996473</v>
      </c>
      <c r="C3" s="7"/>
      <c r="D3" s="7"/>
      <c r="E3" s="7"/>
    </row>
    <row r="4" spans="1:23" x14ac:dyDescent="0.2">
      <c r="A4" s="69" t="s">
        <v>1</v>
      </c>
      <c r="B4" s="71">
        <f>+B3/12</f>
        <v>1.6535182261663728E-2</v>
      </c>
      <c r="C4" s="7"/>
      <c r="D4" s="7"/>
      <c r="E4" s="7"/>
    </row>
    <row r="5" spans="1:23" x14ac:dyDescent="0.2">
      <c r="A5" s="69" t="s">
        <v>9</v>
      </c>
      <c r="B5" s="71">
        <f>NOMINAL(B2,2)</f>
        <v>0.20680764907139126</v>
      </c>
    </row>
    <row r="6" spans="1:23" x14ac:dyDescent="0.2">
      <c r="A6" s="69" t="s">
        <v>4</v>
      </c>
      <c r="B6" s="71">
        <f>+B5/2</f>
        <v>0.10340382453569563</v>
      </c>
    </row>
    <row r="7" spans="1:23" x14ac:dyDescent="0.2">
      <c r="A7" s="69" t="s">
        <v>35</v>
      </c>
      <c r="B7" s="71">
        <f>NOMINAL(B2,3)</f>
        <v>0.20339808300353801</v>
      </c>
    </row>
    <row r="8" spans="1:23" x14ac:dyDescent="0.2">
      <c r="A8" s="69" t="s">
        <v>37</v>
      </c>
      <c r="B8" s="71">
        <f>+B7/3</f>
        <v>6.7799361001179337E-2</v>
      </c>
    </row>
    <row r="9" spans="1:23" x14ac:dyDescent="0.2">
      <c r="A9" s="69" t="s">
        <v>2</v>
      </c>
      <c r="B9" s="71">
        <v>0.06</v>
      </c>
      <c r="C9" s="7"/>
      <c r="D9" s="7"/>
      <c r="E9" s="7"/>
    </row>
    <row r="10" spans="1:23" x14ac:dyDescent="0.2">
      <c r="A10" s="2" t="s">
        <v>7</v>
      </c>
      <c r="B10" s="2">
        <f>4/1000</f>
        <v>4.0000000000000001E-3</v>
      </c>
    </row>
    <row r="11" spans="1:23" x14ac:dyDescent="0.2">
      <c r="B11" s="13">
        <v>6</v>
      </c>
      <c r="C11" s="7"/>
      <c r="D11" s="7"/>
      <c r="E11" s="7"/>
      <c r="G11" s="53"/>
      <c r="H11" s="39"/>
      <c r="I11" s="39"/>
      <c r="J11" s="39"/>
      <c r="K11" s="39"/>
      <c r="L11" s="39"/>
      <c r="M11" s="53"/>
      <c r="N11" s="39"/>
      <c r="O11" s="39"/>
      <c r="P11" s="39"/>
      <c r="Q11" s="39"/>
    </row>
    <row r="12" spans="1:23" ht="15" x14ac:dyDescent="0.25">
      <c r="A12" s="72" t="s">
        <v>10</v>
      </c>
      <c r="B12" s="13">
        <v>24</v>
      </c>
      <c r="C12" s="7"/>
      <c r="D12" s="7"/>
      <c r="E12" s="7"/>
      <c r="G12" s="48" t="s">
        <v>21</v>
      </c>
      <c r="H12" s="47"/>
      <c r="I12" s="47"/>
      <c r="J12" s="47"/>
      <c r="K12" s="47"/>
      <c r="M12" s="48" t="s">
        <v>22</v>
      </c>
      <c r="N12" s="47"/>
      <c r="O12" s="47"/>
      <c r="P12" s="47"/>
      <c r="Q12" s="47"/>
      <c r="S12" s="48" t="s">
        <v>33</v>
      </c>
      <c r="T12" s="47"/>
      <c r="U12" s="47"/>
      <c r="V12" s="47"/>
      <c r="W12" s="47"/>
    </row>
    <row r="13" spans="1:23" x14ac:dyDescent="0.2">
      <c r="A13" s="1"/>
      <c r="B13" s="13">
        <v>36</v>
      </c>
      <c r="C13" s="1"/>
      <c r="D13" s="1"/>
      <c r="E13" s="1"/>
      <c r="G13" s="39"/>
      <c r="H13" s="39"/>
      <c r="I13" s="39"/>
      <c r="J13" s="39"/>
      <c r="K13" s="39"/>
      <c r="M13" s="39"/>
      <c r="N13" s="39"/>
      <c r="O13" s="39"/>
      <c r="P13" s="39"/>
      <c r="Q13" s="39"/>
      <c r="S13" s="39"/>
      <c r="T13" s="39"/>
      <c r="U13" s="39"/>
      <c r="V13" s="39"/>
      <c r="W13" s="39"/>
    </row>
    <row r="14" spans="1:23" ht="14.25" x14ac:dyDescent="0.2">
      <c r="A14" s="1"/>
      <c r="B14" s="13">
        <v>48</v>
      </c>
      <c r="C14" s="1"/>
      <c r="D14" s="1"/>
      <c r="E14" s="1"/>
      <c r="G14" s="40" t="s">
        <v>23</v>
      </c>
      <c r="H14" s="39"/>
      <c r="I14" s="39"/>
      <c r="J14" s="39"/>
      <c r="K14" s="39"/>
      <c r="M14" s="40" t="s">
        <v>24</v>
      </c>
      <c r="N14" s="39"/>
      <c r="O14" s="39"/>
      <c r="P14" s="39"/>
      <c r="Q14" s="39"/>
      <c r="S14" s="40" t="s">
        <v>38</v>
      </c>
      <c r="T14" s="39"/>
      <c r="U14" s="39"/>
      <c r="V14" s="39"/>
      <c r="W14" s="39"/>
    </row>
    <row r="15" spans="1:23" ht="15" x14ac:dyDescent="0.2">
      <c r="A15" s="1"/>
      <c r="B15" s="13">
        <v>60</v>
      </c>
      <c r="C15" s="1"/>
      <c r="D15" s="1"/>
      <c r="E15" s="1"/>
      <c r="G15" s="39"/>
      <c r="H15" s="41">
        <f>IF(Simulador!D7="semestral",+Simulador!D9,0)</f>
        <v>10</v>
      </c>
      <c r="I15" s="86"/>
      <c r="J15" s="39"/>
      <c r="K15" s="39"/>
      <c r="M15" s="39"/>
      <c r="N15" s="41">
        <f>IF(Simulador!D7="anual",+Simulador!D9,0)</f>
        <v>0</v>
      </c>
      <c r="O15" s="86"/>
      <c r="P15" s="39"/>
      <c r="Q15" s="39"/>
      <c r="S15" s="39"/>
      <c r="T15" s="41">
        <f>IF(Simulador!D7="Cuatrimestral",+Simulador!D9,0)</f>
        <v>0</v>
      </c>
      <c r="U15" s="86"/>
      <c r="V15" s="39"/>
      <c r="W15" s="39"/>
    </row>
    <row r="16" spans="1:23" x14ac:dyDescent="0.2">
      <c r="C16" s="1"/>
      <c r="D16" s="1"/>
      <c r="E16" s="1"/>
      <c r="G16" s="39"/>
      <c r="H16" s="39"/>
      <c r="I16" s="39"/>
      <c r="J16" s="39"/>
      <c r="K16" s="39"/>
      <c r="M16" s="39"/>
      <c r="N16" s="39"/>
      <c r="O16" s="39"/>
      <c r="P16" s="39"/>
      <c r="Q16" s="39"/>
      <c r="S16" s="39"/>
      <c r="T16" s="39"/>
      <c r="U16" s="39"/>
      <c r="V16" s="39"/>
      <c r="W16" s="39"/>
    </row>
    <row r="17" spans="1:23" ht="15.75" x14ac:dyDescent="0.25">
      <c r="A17" s="2" t="s">
        <v>52</v>
      </c>
      <c r="B17" s="64" t="s">
        <v>17</v>
      </c>
      <c r="C17" s="1"/>
      <c r="D17" s="1"/>
      <c r="E17" s="1"/>
      <c r="G17" s="40" t="s">
        <v>25</v>
      </c>
      <c r="H17" s="39"/>
      <c r="I17" s="39"/>
      <c r="J17" s="39"/>
      <c r="K17" s="39"/>
      <c r="M17" s="40" t="s">
        <v>26</v>
      </c>
      <c r="N17" s="39"/>
      <c r="O17" s="39"/>
      <c r="P17" s="39"/>
      <c r="Q17" s="39"/>
      <c r="S17" s="40" t="s">
        <v>34</v>
      </c>
      <c r="T17" s="39"/>
      <c r="U17" s="39"/>
      <c r="V17" s="39"/>
      <c r="W17" s="39"/>
    </row>
    <row r="18" spans="1:23" ht="15.75" x14ac:dyDescent="0.25">
      <c r="A18" s="1"/>
      <c r="B18" s="65" t="s">
        <v>18</v>
      </c>
      <c r="C18" s="1"/>
      <c r="D18" s="1"/>
      <c r="E18" s="1"/>
      <c r="G18" s="39"/>
      <c r="H18" s="42">
        <f>IF(H15=0,0,Simulador!D11)</f>
        <v>3500000</v>
      </c>
      <c r="I18" s="87"/>
      <c r="J18" s="39"/>
      <c r="K18" s="39"/>
      <c r="M18" s="39"/>
      <c r="N18" s="42">
        <f>IF(N15=0,0,Simulador!D11)</f>
        <v>0</v>
      </c>
      <c r="O18" s="87"/>
      <c r="P18" s="39"/>
      <c r="Q18" s="39"/>
      <c r="S18" s="39"/>
      <c r="T18" s="42">
        <f>IF(T15=0,0,Simulador!D11)</f>
        <v>0</v>
      </c>
      <c r="U18" s="87"/>
      <c r="V18" s="39"/>
      <c r="W18" s="39"/>
    </row>
    <row r="19" spans="1:23" ht="15.75" x14ac:dyDescent="0.25">
      <c r="A19" s="1"/>
      <c r="B19" s="65" t="s">
        <v>32</v>
      </c>
      <c r="C19" s="1"/>
      <c r="D19" s="1"/>
      <c r="E19" s="1"/>
      <c r="G19" s="39"/>
      <c r="H19" s="39"/>
      <c r="I19" s="39"/>
      <c r="J19" s="39"/>
      <c r="K19" s="39"/>
      <c r="M19" s="39"/>
      <c r="N19" s="39"/>
      <c r="O19" s="39"/>
      <c r="P19" s="39"/>
      <c r="Q19" s="39"/>
      <c r="S19" s="39"/>
      <c r="T19" s="39"/>
      <c r="U19" s="39"/>
      <c r="V19" s="39"/>
      <c r="W19" s="39"/>
    </row>
    <row r="20" spans="1:23" ht="14.25" x14ac:dyDescent="0.2">
      <c r="A20" s="1"/>
      <c r="B20" s="6"/>
      <c r="C20" s="5"/>
      <c r="D20" s="5"/>
      <c r="E20" s="5"/>
      <c r="G20" s="40" t="s">
        <v>27</v>
      </c>
      <c r="H20" s="39"/>
      <c r="I20" s="39"/>
      <c r="J20" s="39"/>
      <c r="K20" s="39"/>
      <c r="M20" s="40" t="s">
        <v>27</v>
      </c>
      <c r="N20" s="39"/>
      <c r="O20" s="39"/>
      <c r="P20" s="39"/>
      <c r="Q20" s="39"/>
      <c r="S20" s="40" t="s">
        <v>27</v>
      </c>
      <c r="T20" s="39"/>
      <c r="U20" s="39"/>
      <c r="V20" s="39"/>
      <c r="W20" s="39"/>
    </row>
    <row r="21" spans="1:23" ht="30" x14ac:dyDescent="0.2">
      <c r="A21" s="1" t="s">
        <v>53</v>
      </c>
      <c r="B21" s="62" t="s">
        <v>36</v>
      </c>
      <c r="C21" s="63" t="s">
        <v>44</v>
      </c>
      <c r="E21" s="5"/>
      <c r="G21" s="52" t="s">
        <v>28</v>
      </c>
      <c r="H21" s="43" t="s">
        <v>29</v>
      </c>
      <c r="I21" s="43"/>
      <c r="J21" s="46" t="s">
        <v>39</v>
      </c>
      <c r="K21" s="39"/>
      <c r="M21" s="52" t="s">
        <v>30</v>
      </c>
      <c r="N21" s="43" t="s">
        <v>29</v>
      </c>
      <c r="O21" s="43"/>
      <c r="P21" s="46" t="s">
        <v>39</v>
      </c>
      <c r="Q21" s="39"/>
      <c r="S21" s="52" t="s">
        <v>55</v>
      </c>
      <c r="T21" s="43" t="s">
        <v>29</v>
      </c>
      <c r="U21" s="43"/>
      <c r="V21" s="46" t="s">
        <v>39</v>
      </c>
      <c r="W21" s="39"/>
    </row>
    <row r="22" spans="1:23" ht="15" x14ac:dyDescent="0.25">
      <c r="A22" s="8">
        <v>1</v>
      </c>
      <c r="B22" s="58">
        <v>1</v>
      </c>
      <c r="C22" s="11">
        <v>1</v>
      </c>
      <c r="F22" s="73">
        <v>1</v>
      </c>
      <c r="G22" s="21">
        <f>IF(F22&lt;=$H$15,F22,0)</f>
        <v>1</v>
      </c>
      <c r="H22" s="89">
        <f>+H18</f>
        <v>3500000</v>
      </c>
      <c r="I22" s="89">
        <f>IF(G22=0,0,+H22/(1-Parametros!$B$10)+(19670*1.16))</f>
        <v>3536873.4248995986</v>
      </c>
      <c r="J22" s="76">
        <f ca="1">VLOOKUP(MONTH(Simulador!A5),Parametros!A22:B33,2,0)</f>
        <v>1</v>
      </c>
      <c r="K22" s="39"/>
      <c r="L22" s="73">
        <v>1</v>
      </c>
      <c r="M22" s="21">
        <f>IF(L22&lt;=$N$15,L22,0)</f>
        <v>0</v>
      </c>
      <c r="N22" s="89">
        <f>+N18</f>
        <v>0</v>
      </c>
      <c r="O22" s="89">
        <f>IF(M22=0,0,+N22/(1-Parametros!$B$10)+(19670*1.16))</f>
        <v>0</v>
      </c>
      <c r="P22" s="92"/>
      <c r="Q22" s="39"/>
      <c r="R22" s="73">
        <v>1</v>
      </c>
      <c r="S22" s="21">
        <f>IF(R22&lt;=$T$15,R22,0)</f>
        <v>0</v>
      </c>
      <c r="T22" s="89">
        <f>+T18</f>
        <v>0</v>
      </c>
      <c r="U22" s="89">
        <f>IF(S22=0,0,+T22/(1-Parametros!$B$10)+(19670*1.16))</f>
        <v>0</v>
      </c>
      <c r="V22" s="76">
        <f ca="1">VLOOKUP(MONTH(Simulador!A5),$A$22:$C$33,3,0)</f>
        <v>1</v>
      </c>
      <c r="W22" s="39"/>
    </row>
    <row r="23" spans="1:23" ht="15" x14ac:dyDescent="0.25">
      <c r="A23" s="4">
        <v>2</v>
      </c>
      <c r="B23" s="38">
        <v>1</v>
      </c>
      <c r="C23" s="3">
        <v>2</v>
      </c>
      <c r="F23" s="74">
        <v>2</v>
      </c>
      <c r="G23" s="23">
        <f t="shared" ref="G23:G36" si="0">IF(F23&lt;=$H$15,F23,0)</f>
        <v>2</v>
      </c>
      <c r="H23" s="88">
        <f t="shared" ref="H23:H31" ca="1" si="1">IF(G23=0,0,IF(J23=2,H22,H22*(1+$B$9)))</f>
        <v>3500000</v>
      </c>
      <c r="I23" s="88">
        <f ca="1">IF(G23=0,0,+H23/(1-Parametros!$B$10)+(19670*1.16))</f>
        <v>3536873.4248995986</v>
      </c>
      <c r="J23" s="76">
        <f ca="1">IF(J22=1,2,1)</f>
        <v>2</v>
      </c>
      <c r="K23" s="39"/>
      <c r="L23" s="74">
        <v>2</v>
      </c>
      <c r="M23" s="23">
        <f t="shared" ref="M23:M36" si="2">IF(L23&lt;=$N$15,L23,0)</f>
        <v>0</v>
      </c>
      <c r="N23" s="88">
        <f>IF(M23=0,0,+N22*(1+$B$9))</f>
        <v>0</v>
      </c>
      <c r="O23" s="88">
        <f>IF(M23=0,0,+N23/(1-Parametros!$B$10)+(19670*1.16))</f>
        <v>0</v>
      </c>
      <c r="P23" s="76"/>
      <c r="Q23" s="39"/>
      <c r="R23" s="74">
        <v>2</v>
      </c>
      <c r="S23" s="23">
        <f t="shared" ref="S23:S36" si="3">IF(R23&lt;=$T$15,R23,0)</f>
        <v>0</v>
      </c>
      <c r="T23" s="88">
        <f>IF(S23=0,0,IF(V23=2,T22,IF(V23=3,T22,T22*(1+$B$9))))</f>
        <v>0</v>
      </c>
      <c r="U23" s="88">
        <f>IF(S23=0,0,+T23/(1-Parametros!$B$10)+(19670*1.16))</f>
        <v>0</v>
      </c>
      <c r="V23" s="76">
        <f ca="1">IF(V22=1,2,IF(V22=2,3,1))</f>
        <v>2</v>
      </c>
      <c r="W23" s="39"/>
    </row>
    <row r="24" spans="1:23" ht="15" x14ac:dyDescent="0.25">
      <c r="A24" s="4">
        <v>3</v>
      </c>
      <c r="B24" s="38">
        <v>2</v>
      </c>
      <c r="C24" s="3">
        <v>2</v>
      </c>
      <c r="F24" s="74">
        <v>3</v>
      </c>
      <c r="G24" s="23">
        <f t="shared" si="0"/>
        <v>3</v>
      </c>
      <c r="H24" s="88">
        <f t="shared" ca="1" si="1"/>
        <v>3710000</v>
      </c>
      <c r="I24" s="88">
        <f ca="1">IF(G24=0,0,+H24/(1-Parametros!$B$10)+(19670*1.16))</f>
        <v>3747716.7983935745</v>
      </c>
      <c r="J24" s="76">
        <f t="shared" ref="J24:J36" ca="1" si="4">IF(J23=1,2,1)</f>
        <v>1</v>
      </c>
      <c r="K24" s="39"/>
      <c r="L24" s="74">
        <v>3</v>
      </c>
      <c r="M24" s="23">
        <f t="shared" si="2"/>
        <v>0</v>
      </c>
      <c r="N24" s="88">
        <f t="shared" ref="N24:N26" si="5">IF(M24=0,0,+N23*(1+$B$9))</f>
        <v>0</v>
      </c>
      <c r="O24" s="88">
        <f>IF(M24=0,0,+N24/(1-Parametros!$B$10)+(19670*1.16))</f>
        <v>0</v>
      </c>
      <c r="P24" s="76"/>
      <c r="Q24" s="39"/>
      <c r="R24" s="74">
        <v>3</v>
      </c>
      <c r="S24" s="23">
        <f t="shared" si="3"/>
        <v>0</v>
      </c>
      <c r="T24" s="88">
        <f t="shared" ref="T24:T36" si="6">IF(S24=0,0,IF(V24=2,T23,IF(V24=3,T23,T23*(1+$B$9))))</f>
        <v>0</v>
      </c>
      <c r="U24" s="88">
        <f>IF(S24=0,0,+T24/(1-Parametros!$B$10)+(19670*1.16))</f>
        <v>0</v>
      </c>
      <c r="V24" s="76">
        <f t="shared" ref="V24:V36" ca="1" si="7">IF(V23=1,2,IF(V23=2,3,1))</f>
        <v>3</v>
      </c>
      <c r="W24" s="39"/>
    </row>
    <row r="25" spans="1:23" ht="15" x14ac:dyDescent="0.25">
      <c r="A25" s="4">
        <v>4</v>
      </c>
      <c r="B25" s="38">
        <v>2</v>
      </c>
      <c r="C25" s="3">
        <v>2</v>
      </c>
      <c r="F25" s="74">
        <v>4</v>
      </c>
      <c r="G25" s="23">
        <f t="shared" si="0"/>
        <v>4</v>
      </c>
      <c r="H25" s="88">
        <f ca="1">IF(G25=0,0,IF(J25=2,H24,H24*(1+$B$9)))</f>
        <v>3710000</v>
      </c>
      <c r="I25" s="88">
        <f ca="1">IF(G25=0,0,+H25/(1-Parametros!$B$10)+(19670*1.16))</f>
        <v>3747716.7983935745</v>
      </c>
      <c r="J25" s="76">
        <f t="shared" ca="1" si="4"/>
        <v>2</v>
      </c>
      <c r="K25" s="39"/>
      <c r="L25" s="74">
        <v>4</v>
      </c>
      <c r="M25" s="23">
        <f t="shared" si="2"/>
        <v>0</v>
      </c>
      <c r="N25" s="88">
        <f t="shared" si="5"/>
        <v>0</v>
      </c>
      <c r="O25" s="88">
        <f>IF(M25=0,0,+N25/(1-Parametros!$B$10)+(19670*1.16))</f>
        <v>0</v>
      </c>
      <c r="P25" s="76"/>
      <c r="Q25" s="39"/>
      <c r="R25" s="74">
        <v>4</v>
      </c>
      <c r="S25" s="23">
        <f t="shared" si="3"/>
        <v>0</v>
      </c>
      <c r="T25" s="88">
        <f t="shared" si="6"/>
        <v>0</v>
      </c>
      <c r="U25" s="88">
        <f>IF(S25=0,0,+T25/(1-Parametros!$B$10)+(19670*1.16))</f>
        <v>0</v>
      </c>
      <c r="V25" s="76">
        <f t="shared" ca="1" si="7"/>
        <v>1</v>
      </c>
      <c r="W25" s="39"/>
    </row>
    <row r="26" spans="1:23" ht="15" x14ac:dyDescent="0.25">
      <c r="A26" s="4">
        <v>5</v>
      </c>
      <c r="B26" s="38">
        <v>2</v>
      </c>
      <c r="C26" s="3">
        <v>2</v>
      </c>
      <c r="F26" s="74">
        <v>5</v>
      </c>
      <c r="G26" s="23">
        <f t="shared" si="0"/>
        <v>5</v>
      </c>
      <c r="H26" s="88">
        <f t="shared" ca="1" si="1"/>
        <v>3932600</v>
      </c>
      <c r="I26" s="88">
        <f ca="1">IF(G26=0,0,+H26/(1-Parametros!$B$10)+(19670*1.16))</f>
        <v>3971210.774297189</v>
      </c>
      <c r="J26" s="76">
        <f t="shared" ca="1" si="4"/>
        <v>1</v>
      </c>
      <c r="K26" s="39"/>
      <c r="L26" s="74">
        <v>5</v>
      </c>
      <c r="M26" s="23">
        <f t="shared" si="2"/>
        <v>0</v>
      </c>
      <c r="N26" s="88">
        <f t="shared" si="5"/>
        <v>0</v>
      </c>
      <c r="O26" s="88">
        <f>IF(M26=0,0,+N26/(1-Parametros!$B$10)+(19670*1.16))</f>
        <v>0</v>
      </c>
      <c r="P26" s="76"/>
      <c r="Q26" s="39"/>
      <c r="R26" s="74">
        <v>5</v>
      </c>
      <c r="S26" s="23">
        <f t="shared" si="3"/>
        <v>0</v>
      </c>
      <c r="T26" s="88">
        <f t="shared" si="6"/>
        <v>0</v>
      </c>
      <c r="U26" s="88">
        <f>IF(S26=0,0,+T26/(1-Parametros!$B$10)+(19670*1.16))</f>
        <v>0</v>
      </c>
      <c r="V26" s="76">
        <f t="shared" ca="1" si="7"/>
        <v>2</v>
      </c>
      <c r="W26" s="39"/>
    </row>
    <row r="27" spans="1:23" ht="15" x14ac:dyDescent="0.25">
      <c r="A27" s="4">
        <v>6</v>
      </c>
      <c r="B27" s="38">
        <v>2</v>
      </c>
      <c r="C27" s="3">
        <v>3</v>
      </c>
      <c r="F27" s="74">
        <v>6</v>
      </c>
      <c r="G27" s="23">
        <f t="shared" si="0"/>
        <v>6</v>
      </c>
      <c r="H27" s="88">
        <f t="shared" ca="1" si="1"/>
        <v>3932600</v>
      </c>
      <c r="I27" s="88">
        <f ca="1">IF(G27=0,0,+H27/(1-Parametros!$B$10)+(19670*1.16))</f>
        <v>3971210.774297189</v>
      </c>
      <c r="J27" s="76">
        <f t="shared" ca="1" si="4"/>
        <v>2</v>
      </c>
      <c r="K27" s="39"/>
      <c r="L27" s="74">
        <v>6</v>
      </c>
      <c r="M27" s="23">
        <f t="shared" si="2"/>
        <v>0</v>
      </c>
      <c r="N27" s="7"/>
      <c r="O27" s="88">
        <f>IF(M27=0,0,+N27/(1-Parametros!$B$10)+(19670*1.16))</f>
        <v>0</v>
      </c>
      <c r="P27" s="76"/>
      <c r="Q27" s="39"/>
      <c r="R27" s="74">
        <v>6</v>
      </c>
      <c r="S27" s="23">
        <f t="shared" si="3"/>
        <v>0</v>
      </c>
      <c r="T27" s="88">
        <f t="shared" si="6"/>
        <v>0</v>
      </c>
      <c r="U27" s="88">
        <f>IF(S27=0,0,+T27/(1-Parametros!$B$10)+(19670*1.16))</f>
        <v>0</v>
      </c>
      <c r="V27" s="76">
        <f t="shared" ca="1" si="7"/>
        <v>3</v>
      </c>
      <c r="W27" s="39"/>
    </row>
    <row r="28" spans="1:23" ht="15" x14ac:dyDescent="0.25">
      <c r="A28" s="4">
        <v>7</v>
      </c>
      <c r="B28" s="38">
        <v>2</v>
      </c>
      <c r="C28" s="3">
        <v>3</v>
      </c>
      <c r="F28" s="74">
        <v>7</v>
      </c>
      <c r="G28" s="23">
        <f t="shared" si="0"/>
        <v>7</v>
      </c>
      <c r="H28" s="88">
        <f t="shared" ca="1" si="1"/>
        <v>4168556</v>
      </c>
      <c r="I28" s="88">
        <f ca="1">IF(G28=0,0,+H28/(1-Parametros!$B$10)+(19670*1.16))</f>
        <v>4208114.3887550198</v>
      </c>
      <c r="J28" s="76">
        <f t="shared" ca="1" si="4"/>
        <v>1</v>
      </c>
      <c r="K28" s="39"/>
      <c r="L28" s="74">
        <v>7</v>
      </c>
      <c r="M28" s="23">
        <f t="shared" si="2"/>
        <v>0</v>
      </c>
      <c r="N28" s="39"/>
      <c r="O28" s="88">
        <f>IF(M28=0,0,+N28/(1-Parametros!$B$10)+(19670*1.16))</f>
        <v>0</v>
      </c>
      <c r="P28" s="76"/>
      <c r="Q28" s="39"/>
      <c r="R28" s="74">
        <v>7</v>
      </c>
      <c r="S28" s="23">
        <f t="shared" si="3"/>
        <v>0</v>
      </c>
      <c r="T28" s="88">
        <f t="shared" si="6"/>
        <v>0</v>
      </c>
      <c r="U28" s="88">
        <f>IF(S28=0,0,+T28/(1-Parametros!$B$10)+(19670*1.16))</f>
        <v>0</v>
      </c>
      <c r="V28" s="76">
        <f t="shared" ca="1" si="7"/>
        <v>1</v>
      </c>
      <c r="W28" s="39"/>
    </row>
    <row r="29" spans="1:23" ht="15" x14ac:dyDescent="0.25">
      <c r="A29" s="4">
        <v>8</v>
      </c>
      <c r="B29" s="38">
        <v>2</v>
      </c>
      <c r="C29" s="3">
        <v>3</v>
      </c>
      <c r="F29" s="74">
        <v>8</v>
      </c>
      <c r="G29" s="23">
        <f t="shared" si="0"/>
        <v>8</v>
      </c>
      <c r="H29" s="88">
        <f t="shared" ca="1" si="1"/>
        <v>4168556</v>
      </c>
      <c r="I29" s="88">
        <f ca="1">IF(G29=0,0,+H29/(1-Parametros!$B$10)+(19670*1.16))</f>
        <v>4208114.3887550198</v>
      </c>
      <c r="J29" s="76">
        <f t="shared" ca="1" si="4"/>
        <v>2</v>
      </c>
      <c r="K29" s="39"/>
      <c r="L29" s="74">
        <v>8</v>
      </c>
      <c r="M29" s="23">
        <f t="shared" si="2"/>
        <v>0</v>
      </c>
      <c r="N29" s="39"/>
      <c r="O29" s="88">
        <f>IF(M29=0,0,+N29/(1-Parametros!$B$10)+(19670*1.16))</f>
        <v>0</v>
      </c>
      <c r="P29" s="76"/>
      <c r="Q29" s="39"/>
      <c r="R29" s="74">
        <v>8</v>
      </c>
      <c r="S29" s="23">
        <f t="shared" si="3"/>
        <v>0</v>
      </c>
      <c r="T29" s="88">
        <f t="shared" si="6"/>
        <v>0</v>
      </c>
      <c r="U29" s="88">
        <f>IF(S29=0,0,+T29/(1-Parametros!$B$10)+(19670*1.16))</f>
        <v>0</v>
      </c>
      <c r="V29" s="76">
        <f t="shared" ca="1" si="7"/>
        <v>2</v>
      </c>
      <c r="W29" s="39"/>
    </row>
    <row r="30" spans="1:23" ht="15" x14ac:dyDescent="0.25">
      <c r="A30" s="4">
        <v>9</v>
      </c>
      <c r="B30" s="38">
        <v>1</v>
      </c>
      <c r="C30" s="3">
        <v>3</v>
      </c>
      <c r="F30" s="74">
        <v>9</v>
      </c>
      <c r="G30" s="23">
        <f t="shared" si="0"/>
        <v>9</v>
      </c>
      <c r="H30" s="88">
        <f t="shared" ca="1" si="1"/>
        <v>4418669.3600000003</v>
      </c>
      <c r="I30" s="88">
        <f ca="1">IF(G30=0,0,+H30/(1-Parametros!$B$10)+(19670*1.16))</f>
        <v>4459232.2200803217</v>
      </c>
      <c r="J30" s="76">
        <f t="shared" ca="1" si="4"/>
        <v>1</v>
      </c>
      <c r="K30" s="39"/>
      <c r="L30" s="74">
        <v>9</v>
      </c>
      <c r="M30" s="23">
        <f t="shared" si="2"/>
        <v>0</v>
      </c>
      <c r="N30" s="39"/>
      <c r="O30" s="88">
        <f>IF(M30=0,0,+N30/(1-Parametros!$B$10)+(19670*1.16))</f>
        <v>0</v>
      </c>
      <c r="P30" s="76"/>
      <c r="Q30" s="39"/>
      <c r="R30" s="74">
        <v>9</v>
      </c>
      <c r="S30" s="23">
        <f t="shared" si="3"/>
        <v>0</v>
      </c>
      <c r="T30" s="88">
        <f t="shared" si="6"/>
        <v>0</v>
      </c>
      <c r="U30" s="88">
        <f>IF(S30=0,0,+T30/(1-Parametros!$B$10)+(19670*1.16))</f>
        <v>0</v>
      </c>
      <c r="V30" s="76">
        <f t="shared" ca="1" si="7"/>
        <v>3</v>
      </c>
      <c r="W30" s="39"/>
    </row>
    <row r="31" spans="1:23" ht="15" x14ac:dyDescent="0.25">
      <c r="A31" s="4">
        <v>10</v>
      </c>
      <c r="B31" s="38">
        <v>1</v>
      </c>
      <c r="C31" s="3">
        <v>1</v>
      </c>
      <c r="F31" s="74">
        <v>10</v>
      </c>
      <c r="G31" s="23">
        <f t="shared" si="0"/>
        <v>10</v>
      </c>
      <c r="H31" s="88">
        <f t="shared" ca="1" si="1"/>
        <v>4418669.3600000003</v>
      </c>
      <c r="I31" s="88">
        <f ca="1">IF(G31=0,0,+H31/(1-Parametros!$B$10)+(19670*1.16))</f>
        <v>4459232.2200803217</v>
      </c>
      <c r="J31" s="76">
        <f t="shared" ca="1" si="4"/>
        <v>2</v>
      </c>
      <c r="K31" s="39"/>
      <c r="L31" s="74">
        <v>10</v>
      </c>
      <c r="M31" s="23">
        <f t="shared" si="2"/>
        <v>0</v>
      </c>
      <c r="N31" s="39"/>
      <c r="O31" s="88">
        <f>IF(M31=0,0,+N31/(1-Parametros!$B$10)+(19670*1.16))</f>
        <v>0</v>
      </c>
      <c r="P31" s="76"/>
      <c r="Q31" s="39"/>
      <c r="R31" s="74">
        <v>10</v>
      </c>
      <c r="S31" s="23">
        <f t="shared" si="3"/>
        <v>0</v>
      </c>
      <c r="T31" s="88">
        <f t="shared" si="6"/>
        <v>0</v>
      </c>
      <c r="U31" s="88">
        <f>IF(S31=0,0,+T31/(1-Parametros!$B$10)+(19670*1.16))</f>
        <v>0</v>
      </c>
      <c r="V31" s="76">
        <f t="shared" ca="1" si="7"/>
        <v>1</v>
      </c>
      <c r="W31" s="39"/>
    </row>
    <row r="32" spans="1:23" ht="15" x14ac:dyDescent="0.25">
      <c r="A32" s="4">
        <v>11</v>
      </c>
      <c r="B32" s="38">
        <v>1</v>
      </c>
      <c r="C32" s="3">
        <v>1</v>
      </c>
      <c r="F32" s="74">
        <v>11</v>
      </c>
      <c r="G32" s="23">
        <f t="shared" si="0"/>
        <v>0</v>
      </c>
      <c r="H32" s="7"/>
      <c r="I32" s="88">
        <f>IF(G32=0,0,+H32/(1-Parametros!$B$10)+(19270*1.16))</f>
        <v>0</v>
      </c>
      <c r="J32" s="76">
        <f t="shared" ca="1" si="4"/>
        <v>1</v>
      </c>
      <c r="L32" s="74">
        <v>11</v>
      </c>
      <c r="M32" s="23">
        <f t="shared" si="2"/>
        <v>0</v>
      </c>
      <c r="N32" s="7"/>
      <c r="O32" s="88">
        <f>IF(M32=0,0,+N32/(1-Parametros!$B$10)+(19670*1.16))</f>
        <v>0</v>
      </c>
      <c r="P32" s="50"/>
      <c r="R32" s="74">
        <v>11</v>
      </c>
      <c r="S32" s="23">
        <f t="shared" si="3"/>
        <v>0</v>
      </c>
      <c r="T32" s="88">
        <f t="shared" si="6"/>
        <v>0</v>
      </c>
      <c r="U32" s="88">
        <f>IF(S32=0,0,+T32/(1-Parametros!$B$10)+(19670*1.16))</f>
        <v>0</v>
      </c>
      <c r="V32" s="76">
        <f t="shared" ca="1" si="7"/>
        <v>2</v>
      </c>
    </row>
    <row r="33" spans="1:23" ht="15" x14ac:dyDescent="0.25">
      <c r="A33" s="9">
        <v>12</v>
      </c>
      <c r="B33" s="59">
        <v>1</v>
      </c>
      <c r="C33" s="12">
        <v>1</v>
      </c>
      <c r="F33" s="74">
        <v>12</v>
      </c>
      <c r="G33" s="23">
        <f t="shared" si="0"/>
        <v>0</v>
      </c>
      <c r="H33" s="7"/>
      <c r="I33" s="88">
        <f>IF(G33=0,0,+H33/(1-Parametros!$B$10)+(19270*1.16))</f>
        <v>0</v>
      </c>
      <c r="J33" s="76">
        <f t="shared" ca="1" si="4"/>
        <v>2</v>
      </c>
      <c r="L33" s="74">
        <v>12</v>
      </c>
      <c r="M33" s="23">
        <f t="shared" si="2"/>
        <v>0</v>
      </c>
      <c r="N33" s="7"/>
      <c r="O33" s="88">
        <f>IF(M33=0,0,+N33/(1-Parametros!$B$10)+(19670*1.16))</f>
        <v>0</v>
      </c>
      <c r="P33" s="50"/>
      <c r="R33" s="74">
        <v>12</v>
      </c>
      <c r="S33" s="23">
        <f t="shared" si="3"/>
        <v>0</v>
      </c>
      <c r="T33" s="88">
        <f t="shared" si="6"/>
        <v>0</v>
      </c>
      <c r="U33" s="88">
        <f>IF(S33=0,0,+T33/(1-Parametros!$B$10)+(19670*1.16))</f>
        <v>0</v>
      </c>
      <c r="V33" s="76">
        <f t="shared" ca="1" si="7"/>
        <v>3</v>
      </c>
    </row>
    <row r="34" spans="1:23" ht="15" x14ac:dyDescent="0.25">
      <c r="A34" s="1"/>
      <c r="B34" s="38"/>
      <c r="C34" s="38"/>
      <c r="D34" s="38"/>
      <c r="F34" s="74">
        <v>13</v>
      </c>
      <c r="G34" s="23">
        <f t="shared" si="0"/>
        <v>0</v>
      </c>
      <c r="H34" s="7"/>
      <c r="I34" s="88">
        <f>IF(G34=0,0,+H34/(1-Parametros!$B$10)+(19270*1.16))</f>
        <v>0</v>
      </c>
      <c r="J34" s="76">
        <f t="shared" ca="1" si="4"/>
        <v>1</v>
      </c>
      <c r="L34" s="74">
        <v>13</v>
      </c>
      <c r="M34" s="23">
        <f t="shared" si="2"/>
        <v>0</v>
      </c>
      <c r="N34" s="7"/>
      <c r="O34" s="88">
        <f>IF(M34=0,0,+N34/(1-Parametros!$B$10)+(19670*1.16))</f>
        <v>0</v>
      </c>
      <c r="P34" s="50"/>
      <c r="R34" s="74">
        <v>13</v>
      </c>
      <c r="S34" s="23">
        <f t="shared" si="3"/>
        <v>0</v>
      </c>
      <c r="T34" s="88">
        <f t="shared" si="6"/>
        <v>0</v>
      </c>
      <c r="U34" s="88">
        <f>IF(S34=0,0,+T34/(1-Parametros!$B$10)+(19670*1.16))</f>
        <v>0</v>
      </c>
      <c r="V34" s="76">
        <f t="shared" ca="1" si="7"/>
        <v>1</v>
      </c>
    </row>
    <row r="35" spans="1:23" ht="15" x14ac:dyDescent="0.25">
      <c r="A35" s="1"/>
      <c r="B35" s="38"/>
      <c r="C35" s="38"/>
      <c r="D35" s="38"/>
      <c r="F35" s="74">
        <v>14</v>
      </c>
      <c r="G35" s="23">
        <f t="shared" si="0"/>
        <v>0</v>
      </c>
      <c r="H35" s="7"/>
      <c r="I35" s="88">
        <f>IF(G35=0,0,+H35/(1-Parametros!$B$10)+(19270*1.16))</f>
        <v>0</v>
      </c>
      <c r="J35" s="76">
        <f t="shared" ca="1" si="4"/>
        <v>2</v>
      </c>
      <c r="L35" s="74">
        <v>14</v>
      </c>
      <c r="M35" s="23">
        <f t="shared" si="2"/>
        <v>0</v>
      </c>
      <c r="N35" s="7"/>
      <c r="O35" s="88">
        <f>IF(M35=0,0,+N35/(1-Parametros!$B$10)+(19670*1.16))</f>
        <v>0</v>
      </c>
      <c r="P35" s="50"/>
      <c r="R35" s="74">
        <v>14</v>
      </c>
      <c r="S35" s="23">
        <f t="shared" si="3"/>
        <v>0</v>
      </c>
      <c r="T35" s="88">
        <f t="shared" si="6"/>
        <v>0</v>
      </c>
      <c r="U35" s="88">
        <f>IF(S35=0,0,+T35/(1-Parametros!$B$10)+(19670*1.16))</f>
        <v>0</v>
      </c>
      <c r="V35" s="76">
        <f t="shared" ca="1" si="7"/>
        <v>2</v>
      </c>
    </row>
    <row r="36" spans="1:23" ht="15" x14ac:dyDescent="0.25">
      <c r="A36" s="1"/>
      <c r="B36" s="38"/>
      <c r="C36" s="38"/>
      <c r="D36" s="38"/>
      <c r="F36" s="75">
        <v>15</v>
      </c>
      <c r="G36" s="28">
        <f t="shared" si="0"/>
        <v>0</v>
      </c>
      <c r="H36" s="90"/>
      <c r="I36" s="105">
        <f>IF(G36=0,0,+H36/(1-Parametros!$B$10)+(19270*1.16))</f>
        <v>0</v>
      </c>
      <c r="J36" s="91">
        <f t="shared" ca="1" si="4"/>
        <v>1</v>
      </c>
      <c r="L36" s="75">
        <v>15</v>
      </c>
      <c r="M36" s="28">
        <f t="shared" si="2"/>
        <v>0</v>
      </c>
      <c r="N36" s="90"/>
      <c r="O36" s="88">
        <f>IF(M36=0,0,+N36/(1-Parametros!$B$10)+(19670*1.16))</f>
        <v>0</v>
      </c>
      <c r="P36" s="51"/>
      <c r="R36" s="75">
        <v>15</v>
      </c>
      <c r="S36" s="28">
        <f t="shared" si="3"/>
        <v>0</v>
      </c>
      <c r="T36" s="88">
        <f t="shared" si="6"/>
        <v>0</v>
      </c>
      <c r="U36" s="105">
        <f>IF(S36=0,0,+T36/(1-Parametros!$B$10)+(19670*1.16))</f>
        <v>0</v>
      </c>
      <c r="V36" s="91">
        <f t="shared" ca="1" si="7"/>
        <v>3</v>
      </c>
    </row>
    <row r="37" spans="1:23" ht="15" x14ac:dyDescent="0.25">
      <c r="A37" s="1"/>
      <c r="B37" s="38"/>
      <c r="C37" s="38"/>
      <c r="D37" s="38"/>
      <c r="E37" s="38"/>
      <c r="G37" s="44"/>
      <c r="H37" s="34">
        <f ca="1">SUM(H22:H31)</f>
        <v>39459650.719999999</v>
      </c>
      <c r="I37" s="34">
        <f ca="1">SUM(I22:I31)</f>
        <v>39846295.212851405</v>
      </c>
      <c r="J37" s="39"/>
      <c r="K37" s="39"/>
      <c r="M37" s="39"/>
      <c r="N37" s="29">
        <f>SUM(N22:N26)</f>
        <v>0</v>
      </c>
      <c r="O37" s="29">
        <f>SUM(O22:O26)</f>
        <v>0</v>
      </c>
      <c r="P37" s="39"/>
      <c r="Q37" s="39"/>
      <c r="S37" s="44"/>
      <c r="T37" s="29">
        <f>SUM(T22:T36)</f>
        <v>0</v>
      </c>
      <c r="U37" s="29">
        <f>SUM(U22:U36)</f>
        <v>0</v>
      </c>
      <c r="V37" s="39"/>
      <c r="W37" s="39"/>
    </row>
    <row r="38" spans="1:23" x14ac:dyDescent="0.2">
      <c r="B38" s="1"/>
      <c r="C38" s="38"/>
      <c r="D38" s="38"/>
      <c r="E38" s="38"/>
      <c r="G38" s="39"/>
      <c r="H38" s="39"/>
      <c r="I38" s="39"/>
      <c r="J38" s="39"/>
      <c r="K38" s="39"/>
      <c r="M38" s="39"/>
      <c r="N38" s="39"/>
      <c r="O38" s="39"/>
      <c r="P38" s="39"/>
      <c r="Q38" s="39"/>
      <c r="S38" s="39"/>
      <c r="T38" s="39"/>
      <c r="U38" s="39"/>
      <c r="V38" s="39"/>
      <c r="W38" s="39"/>
    </row>
    <row r="39" spans="1:23" x14ac:dyDescent="0.2">
      <c r="B39" s="1"/>
      <c r="C39" s="38"/>
      <c r="D39" s="38"/>
      <c r="E39" s="38"/>
      <c r="G39" s="39" t="s">
        <v>5</v>
      </c>
      <c r="H39" s="45">
        <f ca="1">+I22+(I23/(1+$B$6)^1)+(I24/(1+$B$6)^2)+(I25/(1+$B$6)^3)+(I26/(1+$B$6)^4)+(I27/(1+$B$6)^5)+(I28/(1+$B$6)^6)+(I29/(1+$B$6)^7)+(I30/(1+$B$6)^8)+(I31/(1+$B$6)^9)</f>
        <v>26031059.20136315</v>
      </c>
      <c r="I39" s="45"/>
      <c r="J39" s="39"/>
      <c r="K39" s="39"/>
      <c r="M39" s="39" t="s">
        <v>5</v>
      </c>
      <c r="N39" s="45">
        <f>+O22+(O23/(1+$B$2)^1)+(O24/(1+$B$2)^2)+(O25/(1+$B$2)^3)+(O26/(1+$B$2)^4)</f>
        <v>0</v>
      </c>
      <c r="O39" s="45"/>
      <c r="P39" s="39"/>
      <c r="Q39" s="39"/>
      <c r="S39" s="39" t="s">
        <v>5</v>
      </c>
      <c r="T39" s="45">
        <f>+U22+(U23/(1+$B$8)^1)+(U24/(1+$B$8)^2)+(U25/(1+$B$8)^3)+(U26/(1+$B$8)^4)+(U27/(1+$B$8)^5)+(U28/(1+$B$8)^6)+(U29/(1+$B$8)^7)+(U30/(1+$B$8)^8)+(U31/(1+$B$8)^9)+(U32/(1+$B$8)^10)+(U33/(1+$B$8)^11)+(U34/(1+$B$8)^12)+(U35/(1+$B$8)^13)+(U36/(1+$B$8)^14)</f>
        <v>0</v>
      </c>
      <c r="U39" s="45"/>
      <c r="V39" s="39"/>
      <c r="W39" s="39"/>
    </row>
    <row r="40" spans="1:23" x14ac:dyDescent="0.2">
      <c r="B40" s="1"/>
      <c r="C40" s="38"/>
      <c r="D40" s="38"/>
      <c r="E40" s="38"/>
      <c r="G40" s="39"/>
      <c r="H40" s="39"/>
      <c r="I40" s="39"/>
      <c r="J40" s="39"/>
      <c r="K40" s="39"/>
      <c r="M40" s="39"/>
      <c r="N40" s="39"/>
      <c r="O40" s="39"/>
      <c r="P40" s="39"/>
      <c r="Q40" s="39"/>
      <c r="S40" s="39"/>
      <c r="T40" s="39"/>
      <c r="U40" s="39"/>
      <c r="V40" s="39"/>
      <c r="W40" s="39"/>
    </row>
    <row r="41" spans="1:23" ht="45" x14ac:dyDescent="0.2">
      <c r="A41" s="1"/>
      <c r="B41" s="1"/>
      <c r="C41" s="1"/>
      <c r="D41" s="1"/>
      <c r="E41" s="1"/>
      <c r="G41" s="40" t="s">
        <v>31</v>
      </c>
      <c r="H41" s="52" t="s">
        <v>20</v>
      </c>
      <c r="I41" s="106" t="s">
        <v>15</v>
      </c>
      <c r="J41" s="107"/>
      <c r="K41" s="39"/>
      <c r="M41" s="40" t="s">
        <v>31</v>
      </c>
      <c r="N41" s="43" t="s">
        <v>20</v>
      </c>
      <c r="O41" s="54" t="s">
        <v>15</v>
      </c>
      <c r="P41" s="25"/>
      <c r="Q41" s="39"/>
      <c r="S41" s="40" t="s">
        <v>31</v>
      </c>
      <c r="T41" s="43" t="s">
        <v>20</v>
      </c>
      <c r="U41" s="24" t="s">
        <v>15</v>
      </c>
      <c r="V41" s="25"/>
      <c r="W41" s="39"/>
    </row>
    <row r="42" spans="1:23" ht="45" customHeight="1" x14ac:dyDescent="0.25">
      <c r="G42" s="46">
        <v>6</v>
      </c>
      <c r="H42" s="29">
        <f ca="1">+$H$39*$B$4*(1+$B$4)^(I42)/((1+$B$4)^(I42)-1)</f>
        <v>687380.5301723486</v>
      </c>
      <c r="I42" s="26">
        <f>+($H$15-1)*6+G42</f>
        <v>60</v>
      </c>
      <c r="J42" s="27" t="str">
        <f>CONCATENATE(ROUND(I42/12,1)," AÑOS")</f>
        <v>5 AÑOS</v>
      </c>
      <c r="M42" s="46">
        <v>6</v>
      </c>
      <c r="N42" s="29">
        <f>+$N$39*$B$4*(1+$B$4)^(O42)/((1+$B$4)^(O42)-1)</f>
        <v>0</v>
      </c>
      <c r="O42" s="26">
        <f>+M42</f>
        <v>6</v>
      </c>
      <c r="P42" s="27" t="str">
        <f>CONCATENATE(ROUND(O42/12,1)," AÑOS")</f>
        <v>0.5 AÑOS</v>
      </c>
      <c r="S42" s="46">
        <v>6</v>
      </c>
      <c r="T42" s="29">
        <f>+$T$39*$B$4*(1+$B$4)^(U42)/((1+$B$4)^(U42)-1)</f>
        <v>0</v>
      </c>
      <c r="U42" s="26">
        <f>+S42</f>
        <v>6</v>
      </c>
      <c r="V42" s="27" t="str">
        <f>CONCATENATE(ROUND(U42/12,1)," AÑOS")</f>
        <v>0.5 AÑOS</v>
      </c>
    </row>
    <row r="43" spans="1:23" ht="15" x14ac:dyDescent="0.25">
      <c r="A43" s="1"/>
      <c r="B43" s="2" t="str">
        <f>+B17</f>
        <v>Semestral</v>
      </c>
      <c r="C43" s="49" t="str">
        <f>+B18</f>
        <v>Anual</v>
      </c>
      <c r="D43" s="49" t="str">
        <f>+B19</f>
        <v>Cuatrimestral</v>
      </c>
      <c r="G43" s="46">
        <v>24</v>
      </c>
      <c r="H43" s="29">
        <f ca="1">+$H$39*$B$4*(1+$B$4)^(I43)/((1+$B$4)^(I43)-1)</f>
        <v>596376.33769307053</v>
      </c>
      <c r="I43" s="26">
        <f>+($H$15-1)*6+G43</f>
        <v>78</v>
      </c>
      <c r="J43" s="27" t="str">
        <f>CONCATENATE(ROUND(I43/12,1)," AÑOS")</f>
        <v>6.5 AÑOS</v>
      </c>
      <c r="M43" s="46">
        <v>24</v>
      </c>
      <c r="N43" s="29">
        <f>+$N$39*$B$4*(1+$B$4)^(O43)/((1+$B$4)^(O43)-1)</f>
        <v>0</v>
      </c>
      <c r="O43" s="26">
        <f>+($N$15-1)*12+M43</f>
        <v>12</v>
      </c>
      <c r="P43" s="27" t="str">
        <f>CONCATENATE(ROUND(O43/12,1)," AÑOS")</f>
        <v>1 AÑOS</v>
      </c>
      <c r="S43" s="46">
        <v>24</v>
      </c>
      <c r="T43" s="29">
        <f>+$T$39*$B$4*(1+$B$4)^(U43)/((1+$B$4)^(U43)-1)</f>
        <v>0</v>
      </c>
      <c r="U43" s="26">
        <f>+($T$15-1)*4+S43</f>
        <v>20</v>
      </c>
      <c r="V43" s="27" t="str">
        <f>CONCATENATE(ROUND(U43/12,1)," AÑOS")</f>
        <v>1.7 AÑOS</v>
      </c>
    </row>
    <row r="44" spans="1:23" ht="15" x14ac:dyDescent="0.25">
      <c r="A44" s="1" t="s">
        <v>54</v>
      </c>
      <c r="B44" s="10">
        <v>1</v>
      </c>
      <c r="C44" s="10">
        <v>1</v>
      </c>
      <c r="D44" s="10">
        <v>1</v>
      </c>
      <c r="G44" s="46">
        <v>36</v>
      </c>
      <c r="H44" s="29">
        <f ca="1">+$H$39*$B$4*(1+$B$4)^(I44)/((1+$B$4)^(I44)-1)</f>
        <v>557947.69441991835</v>
      </c>
      <c r="I44" s="26">
        <f>+($H$15-1)*6+G44</f>
        <v>90</v>
      </c>
      <c r="J44" s="27" t="str">
        <f>CONCATENATE(ROUND(I44/12,1)," AÑOS")</f>
        <v>7.5 AÑOS</v>
      </c>
      <c r="M44" s="46">
        <v>36</v>
      </c>
      <c r="N44" s="29">
        <f>+$N$39*$B$4*(1+$B$4)^(O44)/((1+$B$4)^(O44)-1)</f>
        <v>0</v>
      </c>
      <c r="O44" s="26">
        <f>+($N$15-1)*12+M44</f>
        <v>24</v>
      </c>
      <c r="P44" s="27" t="str">
        <f t="shared" ref="P44:P46" si="8">CONCATENATE(ROUND(O44/12,1)," AÑOS")</f>
        <v>2 AÑOS</v>
      </c>
      <c r="S44" s="46">
        <v>36</v>
      </c>
      <c r="T44" s="29">
        <f>+$T$39*$B$4*(1+$B$4)^(U44)/((1+$B$4)^(U44)-1)</f>
        <v>0</v>
      </c>
      <c r="U44" s="26">
        <f>+($T$15-1)*4+S44</f>
        <v>32</v>
      </c>
      <c r="V44" s="27" t="str">
        <f>CONCATENATE(ROUND(U44/12,1)," AÑOS")</f>
        <v>2.7 AÑOS</v>
      </c>
    </row>
    <row r="45" spans="1:23" ht="15" x14ac:dyDescent="0.25">
      <c r="A45" s="1"/>
      <c r="B45" s="10">
        <v>2</v>
      </c>
      <c r="C45" s="10">
        <v>2</v>
      </c>
      <c r="D45" s="10">
        <v>2</v>
      </c>
      <c r="E45" s="49"/>
      <c r="G45" s="46">
        <v>48</v>
      </c>
      <c r="H45" s="29">
        <f ca="1">+$H$39*$B$4*(1+$B$4)^(I45)/((1+$B$4)^(I45)-1)</f>
        <v>529902.30424827838</v>
      </c>
      <c r="I45" s="26">
        <f>+($H$15-1)*6+G45</f>
        <v>102</v>
      </c>
      <c r="J45" s="27" t="str">
        <f>CONCATENATE(ROUND(I45/12,1)," AÑOS")</f>
        <v>8.5 AÑOS</v>
      </c>
      <c r="M45" s="46">
        <v>48</v>
      </c>
      <c r="N45" s="29">
        <f>+$N$39*$B$4*(1+$B$4)^(O45)/((1+$B$4)^(O45)-1)</f>
        <v>0</v>
      </c>
      <c r="O45" s="26">
        <f>+($N$15-1)*12+M45</f>
        <v>36</v>
      </c>
      <c r="P45" s="27" t="str">
        <f t="shared" si="8"/>
        <v>3 AÑOS</v>
      </c>
      <c r="S45" s="46">
        <v>48</v>
      </c>
      <c r="T45" s="29">
        <f>+$T$39*$B$4*(1+$B$4)^(U45)/((1+$B$4)^(U45)-1)</f>
        <v>0</v>
      </c>
      <c r="U45" s="26">
        <f>+($T$15-1)*4+S45</f>
        <v>44</v>
      </c>
      <c r="V45" s="27" t="str">
        <f>CONCATENATE(ROUND(U45/12,1)," AÑOS")</f>
        <v>3.7 AÑOS</v>
      </c>
    </row>
    <row r="46" spans="1:23" ht="15" x14ac:dyDescent="0.25">
      <c r="A46" s="1"/>
      <c r="B46" s="10">
        <v>3</v>
      </c>
      <c r="C46" s="10">
        <v>3</v>
      </c>
      <c r="D46" s="10">
        <v>3</v>
      </c>
      <c r="E46" s="10"/>
      <c r="G46" s="46">
        <v>60</v>
      </c>
      <c r="H46" s="29">
        <f ca="1">+$H$39*$B$4*(1+$B$4)^(I46)/((1+$B$4)^(I46)-1)</f>
        <v>508892.3572099625</v>
      </c>
      <c r="I46" s="26">
        <f>+($H$15-1)*6+G46</f>
        <v>114</v>
      </c>
      <c r="J46" s="27" t="str">
        <f>CONCATENATE(ROUND(I46/12,1)," AÑOS")</f>
        <v>9.5 AÑOS</v>
      </c>
      <c r="M46" s="46">
        <v>60</v>
      </c>
      <c r="N46" s="29">
        <f>+$N$39*$B$4*(1+$B$4)^(O46)/((1+$B$4)^(O46)-1)</f>
        <v>0</v>
      </c>
      <c r="O46" s="26">
        <f>+($N$15-1)*12+M46</f>
        <v>48</v>
      </c>
      <c r="P46" s="27" t="str">
        <f t="shared" si="8"/>
        <v>4 AÑOS</v>
      </c>
      <c r="S46" s="46">
        <v>60</v>
      </c>
      <c r="T46" s="29">
        <f>+$T$39*$B$4*(1+$B$4)^(U46)/((1+$B$4)^(U46)-1)</f>
        <v>0</v>
      </c>
      <c r="U46" s="26">
        <f>+($T$15-1)*4+S46</f>
        <v>56</v>
      </c>
      <c r="V46" s="27" t="str">
        <f>CONCATENATE(ROUND(U46/12,1)," AÑOS")</f>
        <v>4.7 AÑOS</v>
      </c>
    </row>
    <row r="47" spans="1:23" x14ac:dyDescent="0.2">
      <c r="A47" s="1"/>
      <c r="B47" s="10">
        <v>4</v>
      </c>
      <c r="C47" s="10">
        <v>4</v>
      </c>
      <c r="D47" s="10">
        <v>4</v>
      </c>
      <c r="E47" s="10"/>
    </row>
    <row r="48" spans="1:23" x14ac:dyDescent="0.2">
      <c r="A48" s="1"/>
      <c r="B48" s="10">
        <v>5</v>
      </c>
      <c r="C48" s="10">
        <v>5</v>
      </c>
      <c r="D48" s="10">
        <v>5</v>
      </c>
      <c r="E48" s="10"/>
    </row>
    <row r="49" spans="1:5" x14ac:dyDescent="0.2">
      <c r="A49" s="1"/>
      <c r="B49" s="10">
        <v>6</v>
      </c>
      <c r="C49" s="10"/>
      <c r="D49" s="10">
        <v>6</v>
      </c>
      <c r="E49" s="10"/>
    </row>
    <row r="50" spans="1:5" x14ac:dyDescent="0.2">
      <c r="A50" s="1"/>
      <c r="B50" s="10">
        <v>7</v>
      </c>
      <c r="C50" s="10"/>
      <c r="D50" s="10">
        <v>7</v>
      </c>
      <c r="E50" s="10"/>
    </row>
    <row r="51" spans="1:5" x14ac:dyDescent="0.2">
      <c r="A51" s="1"/>
      <c r="B51" s="10">
        <v>8</v>
      </c>
      <c r="C51" s="10"/>
      <c r="D51" s="10">
        <v>8</v>
      </c>
      <c r="E51" s="10"/>
    </row>
    <row r="52" spans="1:5" x14ac:dyDescent="0.2">
      <c r="A52" s="1"/>
      <c r="B52" s="10">
        <v>9</v>
      </c>
      <c r="C52" s="10"/>
      <c r="D52" s="10">
        <v>9</v>
      </c>
      <c r="E52" s="10"/>
    </row>
    <row r="53" spans="1:5" x14ac:dyDescent="0.2">
      <c r="A53" s="1"/>
      <c r="B53" s="10">
        <v>10</v>
      </c>
      <c r="C53" s="10"/>
      <c r="D53" s="10">
        <v>10</v>
      </c>
      <c r="E53" s="10"/>
    </row>
    <row r="54" spans="1:5" x14ac:dyDescent="0.2">
      <c r="A54" s="1"/>
      <c r="B54" s="1"/>
      <c r="C54" s="1"/>
      <c r="D54" s="10">
        <v>11</v>
      </c>
      <c r="E54" s="10"/>
    </row>
    <row r="55" spans="1:5" x14ac:dyDescent="0.2">
      <c r="A55" s="1"/>
      <c r="B55" s="1"/>
      <c r="C55" s="1"/>
      <c r="D55" s="10">
        <v>12</v>
      </c>
      <c r="E55" s="10"/>
    </row>
    <row r="56" spans="1:5" x14ac:dyDescent="0.2">
      <c r="A56" s="1"/>
      <c r="B56" s="6"/>
      <c r="C56" s="5"/>
      <c r="D56" s="10">
        <v>13</v>
      </c>
      <c r="E56" s="10"/>
    </row>
    <row r="57" spans="1:5" x14ac:dyDescent="0.2">
      <c r="A57" s="1"/>
      <c r="B57" s="1"/>
      <c r="C57" s="1"/>
      <c r="D57" s="10">
        <v>14</v>
      </c>
      <c r="E57" s="10"/>
    </row>
    <row r="58" spans="1:5" x14ac:dyDescent="0.2">
      <c r="A58" s="1"/>
      <c r="B58" s="1"/>
      <c r="C58" s="1"/>
      <c r="D58" s="10">
        <v>15</v>
      </c>
      <c r="E58" s="10"/>
    </row>
    <row r="59" spans="1:5" x14ac:dyDescent="0.2">
      <c r="E59" s="10"/>
    </row>
    <row r="60" spans="1:5" x14ac:dyDescent="0.2">
      <c r="E60" s="10"/>
    </row>
    <row r="61" spans="1:5" x14ac:dyDescent="0.2">
      <c r="A61" s="1"/>
      <c r="B61" s="1"/>
      <c r="C61" s="1"/>
      <c r="D61" s="1"/>
      <c r="E61" s="1"/>
    </row>
    <row r="62" spans="1:5" x14ac:dyDescent="0.2">
      <c r="A62" s="1"/>
      <c r="B62" s="1"/>
      <c r="C62" s="1"/>
      <c r="D62" s="1"/>
      <c r="E62" s="1"/>
    </row>
    <row r="63" spans="1:5" x14ac:dyDescent="0.2">
      <c r="A63" s="1"/>
      <c r="B63" s="1"/>
      <c r="C63" s="1"/>
      <c r="D63" s="1"/>
      <c r="E63" s="1"/>
    </row>
    <row r="64" spans="1:5" x14ac:dyDescent="0.2">
      <c r="A64" s="1"/>
      <c r="B64" s="6"/>
      <c r="C64" s="5"/>
      <c r="D64" s="5"/>
      <c r="E64" s="5"/>
    </row>
    <row r="65" spans="1:5" x14ac:dyDescent="0.2">
      <c r="A65" s="1"/>
      <c r="B65" s="1"/>
      <c r="C65" s="1"/>
      <c r="D65" s="1"/>
      <c r="E65" s="1"/>
    </row>
    <row r="66" spans="1:5" x14ac:dyDescent="0.2">
      <c r="A66" s="1"/>
      <c r="B66" s="1"/>
      <c r="C66" s="1"/>
      <c r="D66" s="1"/>
      <c r="E66" s="1"/>
    </row>
    <row r="67" spans="1:5" x14ac:dyDescent="0.2">
      <c r="A67" s="1"/>
      <c r="B67" s="1"/>
      <c r="C67" s="1"/>
      <c r="D67" s="1"/>
      <c r="E67" s="1"/>
    </row>
    <row r="68" spans="1:5" x14ac:dyDescent="0.2">
      <c r="A68" s="1"/>
      <c r="B68" s="1"/>
      <c r="C68" s="1"/>
      <c r="D68" s="1"/>
      <c r="E68" s="1"/>
    </row>
    <row r="69" spans="1:5" x14ac:dyDescent="0.2">
      <c r="A69" s="1"/>
      <c r="B69" s="1"/>
      <c r="C69" s="1"/>
      <c r="D69" s="1"/>
      <c r="E69" s="1"/>
    </row>
    <row r="70" spans="1:5" x14ac:dyDescent="0.2">
      <c r="A70" s="1"/>
      <c r="B70" s="6"/>
      <c r="C70" s="6"/>
      <c r="D70" s="6"/>
      <c r="E70" s="6"/>
    </row>
    <row r="71" spans="1:5" x14ac:dyDescent="0.2">
      <c r="A71" s="1"/>
      <c r="B71" s="1"/>
      <c r="C71" s="1"/>
      <c r="D71" s="1"/>
      <c r="E71" s="1"/>
    </row>
    <row r="72" spans="1:5" x14ac:dyDescent="0.2">
      <c r="A72" s="1"/>
      <c r="B72" s="1"/>
      <c r="C72" s="1"/>
      <c r="D72" s="1"/>
      <c r="E72" s="1"/>
    </row>
    <row r="73" spans="1:5" x14ac:dyDescent="0.2">
      <c r="A73" s="1"/>
      <c r="B73" s="1"/>
      <c r="C73" s="1"/>
      <c r="D73" s="1"/>
      <c r="E73" s="1"/>
    </row>
    <row r="74" spans="1:5" x14ac:dyDescent="0.2">
      <c r="A74" s="1"/>
      <c r="B74" s="1"/>
      <c r="C74" s="1"/>
      <c r="D74" s="1"/>
      <c r="E74" s="1"/>
    </row>
    <row r="75" spans="1:5" x14ac:dyDescent="0.2">
      <c r="A75" s="1"/>
      <c r="B75" s="1"/>
      <c r="C75" s="1"/>
      <c r="D75" s="1"/>
      <c r="E75" s="1"/>
    </row>
    <row r="76" spans="1:5" x14ac:dyDescent="0.2">
      <c r="A76" s="1"/>
      <c r="B76" s="1"/>
      <c r="C76" s="1"/>
      <c r="D76" s="1"/>
      <c r="E76" s="1"/>
    </row>
    <row r="77" spans="1:5" x14ac:dyDescent="0.2">
      <c r="A77" s="1"/>
      <c r="B77" s="1"/>
      <c r="C77" s="1"/>
      <c r="D77" s="1"/>
      <c r="E77" s="1"/>
    </row>
    <row r="78" spans="1:5" x14ac:dyDescent="0.2">
      <c r="A78" s="1"/>
      <c r="B78" s="1"/>
      <c r="C78" s="1"/>
      <c r="D78" s="1"/>
      <c r="E78" s="1"/>
    </row>
    <row r="79" spans="1:5" x14ac:dyDescent="0.2">
      <c r="A79" s="1"/>
      <c r="B79" s="1"/>
      <c r="C79" s="1"/>
      <c r="D79" s="1"/>
      <c r="E79" s="1"/>
    </row>
    <row r="80" spans="1:5" x14ac:dyDescent="0.2">
      <c r="A80" s="1"/>
      <c r="B80" s="1"/>
      <c r="C80" s="1"/>
      <c r="D80" s="1"/>
      <c r="E80" s="1"/>
    </row>
    <row r="81" spans="1:5" x14ac:dyDescent="0.2">
      <c r="A81" s="1"/>
      <c r="B81" s="1"/>
      <c r="C81" s="1"/>
      <c r="D81" s="1"/>
      <c r="E81" s="1"/>
    </row>
    <row r="82" spans="1:5" x14ac:dyDescent="0.2">
      <c r="A82" s="1"/>
      <c r="B82" s="1"/>
      <c r="C82" s="1"/>
      <c r="D82" s="1"/>
      <c r="E82" s="1"/>
    </row>
    <row r="83" spans="1:5" x14ac:dyDescent="0.2">
      <c r="A83" s="1"/>
      <c r="B83" s="1"/>
      <c r="C83" s="1"/>
      <c r="D83" s="1"/>
      <c r="E83" s="1"/>
    </row>
    <row r="84" spans="1:5" x14ac:dyDescent="0.2">
      <c r="A84" s="1"/>
      <c r="B84" s="1"/>
      <c r="C84" s="1"/>
      <c r="D84" s="1"/>
      <c r="E84" s="1"/>
    </row>
    <row r="85" spans="1:5" x14ac:dyDescent="0.2">
      <c r="A85" s="1"/>
      <c r="B85" s="1"/>
      <c r="C85" s="1"/>
      <c r="D85" s="1"/>
      <c r="E85" s="1"/>
    </row>
    <row r="86" spans="1:5" x14ac:dyDescent="0.2">
      <c r="A86" s="1"/>
      <c r="B86" s="1"/>
      <c r="C86" s="1"/>
      <c r="D86" s="1"/>
      <c r="E86" s="1"/>
    </row>
    <row r="87" spans="1:5" x14ac:dyDescent="0.2">
      <c r="A87" s="1"/>
      <c r="B87" s="1"/>
      <c r="C87" s="1"/>
      <c r="D87" s="1"/>
      <c r="E87" s="1"/>
    </row>
    <row r="88" spans="1:5" x14ac:dyDescent="0.2">
      <c r="A88" s="1"/>
      <c r="B88" s="1"/>
      <c r="C88" s="1"/>
      <c r="D88" s="1"/>
      <c r="E88" s="1"/>
    </row>
    <row r="89" spans="1:5" x14ac:dyDescent="0.2">
      <c r="A89" s="1"/>
      <c r="B89" s="1"/>
      <c r="C89" s="1"/>
      <c r="D89" s="1"/>
      <c r="E89" s="1"/>
    </row>
    <row r="90" spans="1:5" x14ac:dyDescent="0.2">
      <c r="A90" s="1"/>
      <c r="B90" s="1"/>
      <c r="C90" s="1"/>
      <c r="D90" s="1"/>
      <c r="E90" s="1"/>
    </row>
    <row r="91" spans="1:5" x14ac:dyDescent="0.2">
      <c r="A91" s="1"/>
      <c r="B91" s="1"/>
      <c r="C91" s="1"/>
      <c r="D91" s="1"/>
      <c r="E91" s="1"/>
    </row>
    <row r="92" spans="1:5" x14ac:dyDescent="0.2">
      <c r="A92" s="1"/>
      <c r="B92" s="1"/>
      <c r="C92" s="1"/>
      <c r="D92" s="1"/>
      <c r="E92" s="1"/>
    </row>
    <row r="93" spans="1:5" x14ac:dyDescent="0.2">
      <c r="A93" s="1"/>
      <c r="B93" s="1"/>
      <c r="C93" s="1"/>
      <c r="D93" s="1"/>
      <c r="E93" s="1"/>
    </row>
    <row r="94" spans="1:5" x14ac:dyDescent="0.2">
      <c r="A94" s="1"/>
      <c r="B94" s="1"/>
      <c r="C94" s="1"/>
      <c r="D94" s="1"/>
      <c r="E94" s="1"/>
    </row>
    <row r="95" spans="1:5" x14ac:dyDescent="0.2">
      <c r="A95" s="1"/>
      <c r="B95" s="1"/>
      <c r="C95" s="1"/>
      <c r="D95" s="1"/>
      <c r="E95" s="1"/>
    </row>
    <row r="96" spans="1:5" x14ac:dyDescent="0.2">
      <c r="A96" s="1"/>
      <c r="B96" s="1"/>
      <c r="C96" s="1"/>
      <c r="D96" s="1"/>
      <c r="E96" s="1"/>
    </row>
    <row r="97" spans="1:5" x14ac:dyDescent="0.2">
      <c r="A97" s="1"/>
      <c r="B97" s="1"/>
      <c r="C97" s="1"/>
      <c r="D97" s="1"/>
      <c r="E97" s="1"/>
    </row>
    <row r="98" spans="1:5" x14ac:dyDescent="0.2">
      <c r="A98" s="1"/>
      <c r="B98" s="1"/>
      <c r="C98" s="1"/>
      <c r="D98" s="1"/>
      <c r="E98" s="1"/>
    </row>
    <row r="99" spans="1:5" x14ac:dyDescent="0.2">
      <c r="A99" s="1"/>
      <c r="B99" s="1"/>
      <c r="C99" s="1"/>
      <c r="D99" s="1"/>
      <c r="E99" s="1"/>
    </row>
    <row r="100" spans="1:5" x14ac:dyDescent="0.2">
      <c r="A100" s="1"/>
      <c r="B100" s="1"/>
      <c r="C100" s="1"/>
      <c r="D100" s="1"/>
      <c r="E100" s="1"/>
    </row>
    <row r="101" spans="1:5" x14ac:dyDescent="0.2">
      <c r="A101" s="1"/>
      <c r="B101" s="1"/>
      <c r="C101" s="1"/>
      <c r="D101" s="1"/>
      <c r="E101" s="1"/>
    </row>
    <row r="102" spans="1:5" x14ac:dyDescent="0.2">
      <c r="A102" s="1"/>
      <c r="B102" s="1"/>
      <c r="C102" s="1"/>
      <c r="D102" s="1"/>
      <c r="E102" s="1"/>
    </row>
    <row r="103" spans="1:5" x14ac:dyDescent="0.2">
      <c r="A103" s="1"/>
      <c r="B103" s="1"/>
      <c r="C103" s="1"/>
      <c r="D103" s="1"/>
      <c r="E103" s="1"/>
    </row>
    <row r="104" spans="1:5" x14ac:dyDescent="0.2">
      <c r="A104" s="1"/>
      <c r="B104" s="1"/>
      <c r="C104" s="1"/>
      <c r="D104" s="1"/>
      <c r="E104" s="1"/>
    </row>
    <row r="105" spans="1:5" x14ac:dyDescent="0.2">
      <c r="A105" s="1"/>
      <c r="B105" s="1"/>
      <c r="C105" s="1"/>
      <c r="D105" s="1"/>
      <c r="E105" s="1"/>
    </row>
    <row r="106" spans="1:5" x14ac:dyDescent="0.2">
      <c r="A106" s="1"/>
      <c r="B106" s="1"/>
      <c r="C106" s="1"/>
      <c r="D106" s="1"/>
      <c r="E106" s="1"/>
    </row>
    <row r="107" spans="1:5" x14ac:dyDescent="0.2">
      <c r="A107" s="1"/>
      <c r="B107" s="1"/>
      <c r="C107" s="1"/>
      <c r="D107" s="1"/>
      <c r="E107" s="1"/>
    </row>
    <row r="108" spans="1:5" x14ac:dyDescent="0.2">
      <c r="A108" s="1"/>
      <c r="B108" s="1"/>
      <c r="C108" s="1"/>
      <c r="D108" s="1"/>
      <c r="E108" s="1"/>
    </row>
    <row r="109" spans="1:5" x14ac:dyDescent="0.2">
      <c r="A109" s="1"/>
      <c r="B109" s="1"/>
      <c r="C109" s="1"/>
      <c r="D109" s="1"/>
      <c r="E109" s="1"/>
    </row>
    <row r="110" spans="1:5" x14ac:dyDescent="0.2">
      <c r="A110" s="1"/>
      <c r="B110" s="1"/>
      <c r="C110" s="1"/>
      <c r="D110" s="1"/>
      <c r="E110" s="1"/>
    </row>
    <row r="111" spans="1:5" x14ac:dyDescent="0.2">
      <c r="A111" s="1"/>
      <c r="B111" s="1"/>
      <c r="C111" s="1"/>
      <c r="D111" s="1"/>
      <c r="E111" s="1"/>
    </row>
    <row r="112" spans="1:5" x14ac:dyDescent="0.2">
      <c r="A112" s="1"/>
      <c r="B112" s="1"/>
      <c r="C112" s="1"/>
      <c r="D112" s="1"/>
      <c r="E112" s="1"/>
    </row>
    <row r="113" spans="1:5" x14ac:dyDescent="0.2">
      <c r="A113" s="1"/>
      <c r="B113" s="1"/>
      <c r="C113" s="1"/>
      <c r="D113" s="1"/>
      <c r="E113" s="1"/>
    </row>
    <row r="114" spans="1:5" x14ac:dyDescent="0.2">
      <c r="A114" s="1"/>
      <c r="B114" s="1"/>
      <c r="C114" s="1"/>
      <c r="D114" s="1"/>
      <c r="E114" s="1"/>
    </row>
    <row r="115" spans="1:5" x14ac:dyDescent="0.2">
      <c r="A115" s="1"/>
      <c r="B115" s="1"/>
      <c r="C115" s="1"/>
      <c r="D115" s="1"/>
      <c r="E115" s="1"/>
    </row>
    <row r="116" spans="1:5" x14ac:dyDescent="0.2">
      <c r="A116" s="1"/>
      <c r="B116" s="1"/>
      <c r="C116" s="1"/>
      <c r="D116" s="1"/>
      <c r="E116" s="1"/>
    </row>
    <row r="117" spans="1:5" x14ac:dyDescent="0.2">
      <c r="A117" s="1"/>
      <c r="B117" s="1"/>
      <c r="C117" s="1"/>
      <c r="D117" s="1"/>
      <c r="E117" s="1"/>
    </row>
    <row r="118" spans="1:5" x14ac:dyDescent="0.2">
      <c r="A118" s="1"/>
      <c r="B118" s="1"/>
      <c r="C118" s="1"/>
      <c r="D118" s="1"/>
      <c r="E118" s="1"/>
    </row>
    <row r="119" spans="1:5" x14ac:dyDescent="0.2">
      <c r="A119" s="1"/>
      <c r="B119" s="1"/>
      <c r="C119" s="1"/>
      <c r="D119" s="1"/>
      <c r="E119" s="1"/>
    </row>
    <row r="120" spans="1:5" x14ac:dyDescent="0.2">
      <c r="A120" s="1"/>
      <c r="B120" s="1"/>
      <c r="C120" s="1"/>
      <c r="D120" s="1"/>
      <c r="E120" s="1"/>
    </row>
    <row r="121" spans="1:5" x14ac:dyDescent="0.2">
      <c r="A121" s="1"/>
      <c r="B121" s="1"/>
      <c r="C121" s="1"/>
      <c r="D121" s="1"/>
      <c r="E121" s="1"/>
    </row>
    <row r="122" spans="1:5" x14ac:dyDescent="0.2">
      <c r="A122" s="1"/>
      <c r="B122" s="1"/>
      <c r="C122" s="1"/>
      <c r="D122" s="1"/>
      <c r="E122" s="1"/>
    </row>
    <row r="123" spans="1:5" x14ac:dyDescent="0.2">
      <c r="A123" s="1"/>
      <c r="B123" s="1"/>
      <c r="C123" s="1"/>
      <c r="D123" s="1"/>
      <c r="E123" s="1"/>
    </row>
    <row r="124" spans="1:5" x14ac:dyDescent="0.2">
      <c r="A124" s="1"/>
      <c r="B124" s="1"/>
      <c r="C124" s="1"/>
      <c r="D124" s="1"/>
      <c r="E124" s="1"/>
    </row>
    <row r="125" spans="1:5" x14ac:dyDescent="0.2">
      <c r="A125" s="1"/>
      <c r="B125" s="1"/>
      <c r="C125" s="1"/>
      <c r="D125" s="1"/>
      <c r="E125" s="1"/>
    </row>
    <row r="126" spans="1:5" x14ac:dyDescent="0.2">
      <c r="A126" s="1"/>
      <c r="B126" s="1"/>
      <c r="C126" s="1"/>
      <c r="D126" s="1"/>
      <c r="E126" s="1"/>
    </row>
    <row r="127" spans="1:5" x14ac:dyDescent="0.2">
      <c r="A127" s="1"/>
      <c r="B127" s="1"/>
      <c r="C127" s="1"/>
      <c r="D127" s="1"/>
      <c r="E127" s="1"/>
    </row>
    <row r="128" spans="1:5" x14ac:dyDescent="0.2">
      <c r="A128" s="1"/>
      <c r="B128" s="1"/>
      <c r="C128" s="1"/>
      <c r="D128" s="1"/>
      <c r="E128" s="1"/>
    </row>
    <row r="129" spans="1:5" x14ac:dyDescent="0.2">
      <c r="A129" s="1"/>
      <c r="B129" s="1"/>
      <c r="C129" s="1"/>
      <c r="D129" s="1"/>
      <c r="E129" s="1"/>
    </row>
    <row r="130" spans="1:5" x14ac:dyDescent="0.2">
      <c r="A130" s="1"/>
      <c r="B130" s="1"/>
      <c r="C130" s="1"/>
      <c r="D130" s="1"/>
      <c r="E130" s="1"/>
    </row>
    <row r="131" spans="1:5" x14ac:dyDescent="0.2">
      <c r="A131" s="1"/>
      <c r="B131" s="1"/>
    </row>
    <row r="132" spans="1:5" x14ac:dyDescent="0.2">
      <c r="A132" s="1"/>
      <c r="B132" s="1"/>
    </row>
    <row r="133" spans="1:5" x14ac:dyDescent="0.2">
      <c r="A133" s="1"/>
      <c r="B133" s="1"/>
    </row>
    <row r="134" spans="1:5" x14ac:dyDescent="0.2">
      <c r="A134" s="1"/>
      <c r="B134" s="1"/>
    </row>
    <row r="135" spans="1:5" x14ac:dyDescent="0.2">
      <c r="A135" s="1"/>
      <c r="B135" s="1"/>
    </row>
    <row r="136" spans="1:5" x14ac:dyDescent="0.2">
      <c r="A136" s="1"/>
      <c r="B136" s="1"/>
    </row>
    <row r="137" spans="1:5" x14ac:dyDescent="0.2">
      <c r="A137" s="1"/>
      <c r="B137" s="1"/>
    </row>
    <row r="138" spans="1:5" x14ac:dyDescent="0.2">
      <c r="A138" s="1"/>
      <c r="B138" s="1"/>
    </row>
    <row r="139" spans="1:5" x14ac:dyDescent="0.2">
      <c r="A139" s="1"/>
      <c r="B139" s="1"/>
    </row>
    <row r="140" spans="1:5" x14ac:dyDescent="0.2">
      <c r="A140" s="1"/>
      <c r="B140" s="1"/>
    </row>
    <row r="141" spans="1:5" x14ac:dyDescent="0.2">
      <c r="A141" s="1"/>
      <c r="B141" s="1"/>
    </row>
    <row r="142" spans="1:5" x14ac:dyDescent="0.2">
      <c r="A142" s="1"/>
      <c r="B142" s="1"/>
    </row>
    <row r="143" spans="1:5" x14ac:dyDescent="0.2">
      <c r="A143" s="1"/>
      <c r="B143" s="1"/>
    </row>
    <row r="144" spans="1:5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</sheetData>
  <sheetProtection password="A0EC" sheet="1" objects="1" scenarios="1" selectLockedCells="1" selectUnlockedCells="1"/>
  <dataConsolidate/>
  <conditionalFormatting sqref="H22:H31">
    <cfRule type="cellIs" dxfId="15" priority="26" operator="equal">
      <formula>0</formula>
    </cfRule>
  </conditionalFormatting>
  <conditionalFormatting sqref="N42:N46">
    <cfRule type="cellIs" dxfId="14" priority="22" operator="equal">
      <formula>0</formula>
    </cfRule>
  </conditionalFormatting>
  <conditionalFormatting sqref="N22:N26">
    <cfRule type="cellIs" dxfId="13" priority="24" operator="equal">
      <formula>0</formula>
    </cfRule>
  </conditionalFormatting>
  <conditionalFormatting sqref="G22:G36">
    <cfRule type="cellIs" dxfId="12" priority="20" operator="equal">
      <formula>0</formula>
    </cfRule>
  </conditionalFormatting>
  <conditionalFormatting sqref="H42:H46">
    <cfRule type="cellIs" dxfId="11" priority="21" operator="equal">
      <formula>0</formula>
    </cfRule>
  </conditionalFormatting>
  <conditionalFormatting sqref="T22">
    <cfRule type="cellIs" dxfId="10" priority="19" operator="equal">
      <formula>0</formula>
    </cfRule>
  </conditionalFormatting>
  <conditionalFormatting sqref="T42:T46">
    <cfRule type="cellIs" dxfId="9" priority="17" operator="equal">
      <formula>0</formula>
    </cfRule>
  </conditionalFormatting>
  <conditionalFormatting sqref="T23:T36">
    <cfRule type="cellIs" dxfId="8" priority="15" operator="equal">
      <formula>0</formula>
    </cfRule>
  </conditionalFormatting>
  <conditionalFormatting sqref="M22:M36">
    <cfRule type="cellIs" dxfId="7" priority="14" operator="equal">
      <formula>0</formula>
    </cfRule>
  </conditionalFormatting>
  <conditionalFormatting sqref="S22:S36">
    <cfRule type="cellIs" dxfId="6" priority="12" operator="equal">
      <formula>0</formula>
    </cfRule>
  </conditionalFormatting>
  <conditionalFormatting sqref="I22:I31">
    <cfRule type="cellIs" dxfId="5" priority="7" operator="equal">
      <formula>0</formula>
    </cfRule>
  </conditionalFormatting>
  <conditionalFormatting sqref="O22:O25">
    <cfRule type="cellIs" dxfId="4" priority="6" operator="equal">
      <formula>0</formula>
    </cfRule>
  </conditionalFormatting>
  <conditionalFormatting sqref="I32:I36">
    <cfRule type="cellIs" dxfId="3" priority="4" operator="equal">
      <formula>0</formula>
    </cfRule>
  </conditionalFormatting>
  <conditionalFormatting sqref="O26:O36">
    <cfRule type="cellIs" dxfId="2" priority="3" operator="equal">
      <formula>0</formula>
    </cfRule>
  </conditionalFormatting>
  <conditionalFormatting sqref="U22:U31">
    <cfRule type="cellIs" dxfId="1" priority="2" operator="equal">
      <formula>0</formula>
    </cfRule>
  </conditionalFormatting>
  <conditionalFormatting sqref="U32:U36">
    <cfRule type="cellIs" dxfId="0" priority="1" operator="equal">
      <formula>0</formula>
    </cfRule>
  </conditionalFormatting>
  <dataValidations disablePrompts="1" count="2">
    <dataValidation type="whole" allowBlank="1" showInputMessage="1" showErrorMessage="1" sqref="N16:O17">
      <formula1>1</formula1>
      <formula2>5</formula2>
    </dataValidation>
    <dataValidation type="whole" allowBlank="1" showInputMessage="1" showErrorMessage="1" sqref="H16:I16 T16:U16">
      <formula1>1</formula1>
      <formula2>10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Simulador</vt:lpstr>
      <vt:lpstr>Parametros</vt:lpstr>
      <vt:lpstr>Simulador!Área_de_impresión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Mauricio Lerzundy Forero</dc:creator>
  <cp:lastModifiedBy>Paula Angelica Gonzalez Ramos</cp:lastModifiedBy>
  <cp:lastPrinted>2016-05-11T14:56:47Z</cp:lastPrinted>
  <dcterms:created xsi:type="dcterms:W3CDTF">2014-10-31T14:58:48Z</dcterms:created>
  <dcterms:modified xsi:type="dcterms:W3CDTF">2016-11-15T17:24:07Z</dcterms:modified>
</cp:coreProperties>
</file>